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2018 SEM AJUSTE" sheetId="1" r:id="rId1"/>
    <sheet name="2018 AJUSTADA" sheetId="2" r:id="rId2"/>
    <sheet name="2019" sheetId="3" r:id="rId3"/>
    <sheet name="COMPARATIVO" sheetId="4" r:id="rId4"/>
  </sheets>
  <definedNames/>
  <calcPr fullCalcOnLoad="1"/>
</workbook>
</file>

<file path=xl/sharedStrings.xml><?xml version="1.0" encoding="utf-8"?>
<sst xmlns="http://schemas.openxmlformats.org/spreadsheetml/2006/main" count="411" uniqueCount="101">
  <si>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</si>
  <si>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</si>
  <si>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</si>
  <si>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</si>
  <si>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</si>
  <si>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</si>
  <si>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</si>
  <si>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</si>
  <si>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</si>
  <si>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</si>
  <si>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</si>
  <si>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</si>
  <si>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B10</t>
  </si>
  <si>
    <t>B12</t>
  </si>
  <si>
    <t>C10</t>
  </si>
  <si>
    <t>C12</t>
  </si>
  <si>
    <t>D10</t>
  </si>
  <si>
    <t>D12</t>
  </si>
  <si>
    <t>Nutricionista Fiscal</t>
  </si>
  <si>
    <t>F2</t>
  </si>
  <si>
    <t>G2</t>
  </si>
  <si>
    <t>H2</t>
  </si>
  <si>
    <t>I2</t>
  </si>
  <si>
    <t>J2</t>
  </si>
  <si>
    <t>K2</t>
  </si>
  <si>
    <t>E2</t>
  </si>
  <si>
    <t>L2</t>
  </si>
  <si>
    <t>E1</t>
  </si>
  <si>
    <t>F1</t>
  </si>
  <si>
    <t>G1</t>
  </si>
  <si>
    <t>H1</t>
  </si>
  <si>
    <t>I1</t>
  </si>
  <si>
    <t>J1</t>
  </si>
  <si>
    <t>K1</t>
  </si>
  <si>
    <t>L1</t>
  </si>
  <si>
    <t>SECRETÁRIA ADMINISTRATIVA</t>
  </si>
  <si>
    <t>AUX ADMINISTRATIVO</t>
  </si>
  <si>
    <t>ASSISTENTE ADMINISTRATIVO</t>
  </si>
  <si>
    <t>TÉCNICO ADMINISTRATIVO</t>
  </si>
  <si>
    <t xml:space="preserve">SECRETÁRIA </t>
  </si>
  <si>
    <t>CLASSE 1</t>
  </si>
  <si>
    <t>CLASSE 2</t>
  </si>
  <si>
    <t>CLASSE 3</t>
  </si>
  <si>
    <t>CLASSE 4</t>
  </si>
  <si>
    <t>CLASSE 5</t>
  </si>
  <si>
    <t>CRN2 2019</t>
  </si>
  <si>
    <t>PORTO ALEGRE</t>
  </si>
  <si>
    <t>Claudio Soares dos Santos</t>
  </si>
  <si>
    <t>Auxiliar Administrativo</t>
  </si>
  <si>
    <t>Daniela Brundo Amaral</t>
  </si>
  <si>
    <t>Assistente Administrativo</t>
  </si>
  <si>
    <t>Denise Monteiro Fidelis</t>
  </si>
  <si>
    <t>Elizete Paz de O. Minor</t>
  </si>
  <si>
    <t>Fernanda Fiorenza</t>
  </si>
  <si>
    <t>Coodenação Técnica</t>
  </si>
  <si>
    <t>Flavia Santos Severo Prates</t>
  </si>
  <si>
    <t>Graciana Penna Peixoto</t>
  </si>
  <si>
    <t>Janice Mayer Benck de Oliveira</t>
  </si>
  <si>
    <t>Asses.Com.Social Chefe</t>
  </si>
  <si>
    <t>karina Luczay Klein Pinho de Bem</t>
  </si>
  <si>
    <t>Luciana Drozdowski Pereira</t>
  </si>
  <si>
    <t>Secretária Administrativa</t>
  </si>
  <si>
    <t>Magali Krindges</t>
  </si>
  <si>
    <t>Coordenação Financeiro/Contábil</t>
  </si>
  <si>
    <t>Maiele Bertoldo Lewandowski</t>
  </si>
  <si>
    <t>Coordenação de Fiscalização</t>
  </si>
  <si>
    <t>Marco Jose Stefani</t>
  </si>
  <si>
    <t>Asses.Juridico</t>
  </si>
  <si>
    <t>Maria Beatriz Viegas</t>
  </si>
  <si>
    <t>Fiscal</t>
  </si>
  <si>
    <t>Querino Haesbaert da Silva</t>
  </si>
  <si>
    <t>Rosana Andrade da Silveira</t>
  </si>
  <si>
    <t>Sonia Diolinda S. de Souza</t>
  </si>
  <si>
    <t>Secretária</t>
  </si>
  <si>
    <t>Tessa Bittencourt Valente</t>
  </si>
  <si>
    <t>EMPREGADO</t>
  </si>
  <si>
    <t>CARGO/FUNÇÃO</t>
  </si>
  <si>
    <t>ADMISSÃO</t>
  </si>
  <si>
    <t>CLASSE ATUAL</t>
  </si>
  <si>
    <t>Robert James Kruger</t>
  </si>
  <si>
    <t>Administrador</t>
  </si>
  <si>
    <t>SALÁRIO COM REAJUSTE DE 5,07%</t>
  </si>
  <si>
    <t>Controle Progressão Funcional 2019</t>
  </si>
  <si>
    <t>NÍVEL ATUAL</t>
  </si>
  <si>
    <t>Nº</t>
  </si>
  <si>
    <t>SALÁRIO CONFORME TABELA DE CARGOS E SALÁRIOS</t>
  </si>
  <si>
    <t>3</t>
  </si>
  <si>
    <t>5</t>
  </si>
  <si>
    <t>2</t>
  </si>
  <si>
    <t>4</t>
  </si>
  <si>
    <t>CRN2 2018</t>
  </si>
  <si>
    <t>B2</t>
  </si>
  <si>
    <t>C2</t>
  </si>
  <si>
    <t>D2</t>
  </si>
  <si>
    <t>SANTA MARIA</t>
  </si>
  <si>
    <t>Gisele Pigatto Librelotto</t>
  </si>
  <si>
    <t>Emerson Gonçalves Vasconcellos</t>
  </si>
  <si>
    <t>DIFERENÇA</t>
  </si>
  <si>
    <t>SALÁRIO ATUAL SEM REAJUSTE</t>
  </si>
  <si>
    <t>SALÁRIO DE 05/2018</t>
  </si>
  <si>
    <t>REAJUSTE 5,07%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</si>
</sst>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&quot;\ #,##0.00"/>
    <numFmt numFmtId="166" formatCode="[$-416]dddd\,\ d&quot; de &quot;mmmm&quot; de &quot;yyyy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40" fillId="0" borderId="1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40" fillId="0" borderId="11" xfId="0" applyNumberFormat="1" applyFont="1" applyBorder="1" applyAlignment="1">
      <alignment horizontal="center" vertical="center"/>
    </xf>
    <xf numFmtId="165" fontId="40" fillId="0" borderId="13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justify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 wrapText="1"/>
    </xf>
    <xf numFmtId="0" fontId="41" fillId="6" borderId="19" xfId="0" applyFont="1" applyFill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fill" vertical="center" wrapTex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41" fillId="16" borderId="17" xfId="0" applyFont="1" applyFill="1" applyBorder="1" applyAlignment="1">
      <alignment horizontal="center" vertical="justify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44" fontId="21" fillId="0" borderId="20" xfId="44" applyFont="1" applyFill="1" applyBorder="1" applyAlignment="1">
      <alignment horizontal="center"/>
    </xf>
    <xf numFmtId="44" fontId="0" fillId="0" borderId="20" xfId="44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5" fontId="0" fillId="33" borderId="20" xfId="0" applyNumberFormat="1" applyFont="1" applyFill="1" applyBorder="1" applyAlignment="1">
      <alignment horizontal="center"/>
    </xf>
    <xf numFmtId="44" fontId="0" fillId="33" borderId="20" xfId="44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14" fontId="0" fillId="0" borderId="20" xfId="0" applyNumberFormat="1" applyFont="1" applyBorder="1" applyAlignment="1">
      <alignment/>
    </xf>
    <xf numFmtId="44" fontId="0" fillId="0" borderId="20" xfId="44" applyFont="1" applyBorder="1" applyAlignment="1">
      <alignment horizontal="center"/>
    </xf>
    <xf numFmtId="0" fontId="0" fillId="0" borderId="0" xfId="0" applyFill="1" applyAlignment="1">
      <alignment/>
    </xf>
    <xf numFmtId="14" fontId="0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20" xfId="0" applyNumberFormat="1" applyBorder="1" applyAlignment="1">
      <alignment/>
    </xf>
    <xf numFmtId="0" fontId="0" fillId="33" borderId="20" xfId="0" applyFont="1" applyFill="1" applyBorder="1" applyAlignment="1">
      <alignment horizontal="left"/>
    </xf>
    <xf numFmtId="14" fontId="0" fillId="33" borderId="20" xfId="0" applyNumberFormat="1" applyFont="1" applyFill="1" applyBorder="1" applyAlignment="1">
      <alignment horizontal="center"/>
    </xf>
    <xf numFmtId="49" fontId="0" fillId="33" borderId="20" xfId="0" applyNumberFormat="1" applyFont="1" applyFill="1" applyBorder="1" applyAlignment="1">
      <alignment horizontal="center"/>
    </xf>
    <xf numFmtId="44" fontId="0" fillId="33" borderId="20" xfId="0" applyNumberFormat="1" applyFont="1" applyFill="1" applyBorder="1" applyAlignment="1">
      <alignment horizontal="center"/>
    </xf>
    <xf numFmtId="44" fontId="0" fillId="0" borderId="20" xfId="44" applyFont="1" applyFill="1" applyBorder="1" applyAlignment="1">
      <alignment/>
    </xf>
    <xf numFmtId="165" fontId="21" fillId="0" borderId="20" xfId="0" applyNumberFormat="1" applyFont="1" applyBorder="1" applyAlignment="1">
      <alignment horizontal="center" vertical="center"/>
    </xf>
    <xf numFmtId="44" fontId="42" fillId="0" borderId="20" xfId="0" applyNumberFormat="1" applyFont="1" applyFill="1" applyBorder="1" applyAlignment="1">
      <alignment horizontal="center"/>
    </xf>
    <xf numFmtId="44" fontId="0" fillId="33" borderId="20" xfId="44" applyFont="1" applyFill="1" applyBorder="1" applyAlignment="1">
      <alignment/>
    </xf>
    <xf numFmtId="44" fontId="0" fillId="33" borderId="20" xfId="0" applyNumberFormat="1" applyFill="1" applyBorder="1" applyAlignment="1">
      <alignment/>
    </xf>
    <xf numFmtId="0" fontId="39" fillId="34" borderId="20" xfId="0" applyFont="1" applyFill="1" applyBorder="1" applyAlignment="1">
      <alignment horizontal="center" vertical="center" wrapText="1"/>
    </xf>
    <xf numFmtId="44" fontId="0" fillId="0" borderId="20" xfId="0" applyNumberFormat="1" applyFill="1" applyBorder="1" applyAlignment="1">
      <alignment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justify"/>
    </xf>
    <xf numFmtId="0" fontId="41" fillId="35" borderId="17" xfId="0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/>
    </xf>
    <xf numFmtId="0" fontId="39" fillId="16" borderId="30" xfId="0" applyFont="1" applyFill="1" applyBorder="1" applyAlignment="1">
      <alignment horizontal="center" vertical="justify"/>
    </xf>
    <xf numFmtId="0" fontId="39" fillId="16" borderId="0" xfId="0" applyFont="1" applyFill="1" applyBorder="1" applyAlignment="1">
      <alignment horizontal="center" vertical="justify"/>
    </xf>
    <xf numFmtId="0" fontId="40" fillId="0" borderId="26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16" borderId="33" xfId="0" applyFont="1" applyFill="1" applyBorder="1" applyAlignment="1">
      <alignment horizontal="center" vertical="center" wrapText="1"/>
    </xf>
    <xf numFmtId="0" fontId="41" fillId="16" borderId="34" xfId="0" applyFont="1" applyFill="1" applyBorder="1" applyAlignment="1">
      <alignment horizontal="center" vertical="center" wrapText="1"/>
    </xf>
    <xf numFmtId="0" fontId="41" fillId="16" borderId="35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65" fontId="40" fillId="0" borderId="24" xfId="0" applyNumberFormat="1" applyFont="1" applyBorder="1" applyAlignment="1">
      <alignment horizontal="center" vertical="center"/>
    </xf>
    <xf numFmtId="165" fontId="40" fillId="0" borderId="22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justify"/>
    </xf>
    <xf numFmtId="0" fontId="39" fillId="35" borderId="0" xfId="0" applyFont="1" applyFill="1" applyBorder="1" applyAlignment="1">
      <alignment horizontal="center" vertical="justify"/>
    </xf>
    <xf numFmtId="0" fontId="41" fillId="35" borderId="33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>
      <alignment horizontal="center" vertical="center" wrapText="1"/>
    </xf>
    <xf numFmtId="0" fontId="41" fillId="35" borderId="35" xfId="0" applyFont="1" applyFill="1" applyBorder="1" applyAlignment="1">
      <alignment horizontal="center" vertical="center" wrapText="1"/>
    </xf>
    <xf numFmtId="0" fontId="39" fillId="12" borderId="38" xfId="0" applyFont="1" applyFill="1" applyBorder="1" applyAlignment="1">
      <alignment horizontal="center" vertical="justify"/>
    </xf>
    <xf numFmtId="0" fontId="39" fillId="12" borderId="25" xfId="0" applyFont="1" applyFill="1" applyBorder="1" applyAlignment="1">
      <alignment horizontal="center" vertical="justify"/>
    </xf>
    <xf numFmtId="0" fontId="39" fillId="12" borderId="36" xfId="0" applyFont="1" applyFill="1" applyBorder="1" applyAlignment="1">
      <alignment horizontal="center" vertical="justify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0" fontId="41" fillId="6" borderId="35" xfId="0" applyFont="1" applyFill="1" applyBorder="1" applyAlignment="1">
      <alignment horizontal="center" vertical="center" wrapText="1"/>
    </xf>
    <xf numFmtId="165" fontId="2" fillId="0" borderId="39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43" fillId="0" borderId="41" xfId="0" applyFont="1" applyFill="1" applyBorder="1" applyAlignment="1">
      <alignment horizontal="center"/>
    </xf>
    <xf numFmtId="0" fontId="39" fillId="36" borderId="20" xfId="0" applyFont="1" applyFill="1" applyBorder="1" applyAlignment="1">
      <alignment horizontal="center"/>
    </xf>
    <xf numFmtId="0" fontId="39" fillId="36" borderId="42" xfId="0" applyFont="1" applyFill="1" applyBorder="1" applyAlignment="1">
      <alignment horizontal="center"/>
    </xf>
    <xf numFmtId="0" fontId="39" fillId="36" borderId="43" xfId="0" applyFont="1" applyFill="1" applyBorder="1" applyAlignment="1">
      <alignment horizontal="center"/>
    </xf>
    <xf numFmtId="0" fontId="39" fillId="36" borderId="4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U18" sqref="T17:U18"/>
    </sheetView>
  </sheetViews>
  <sheetFormatPr defaultColWidth="9.140625" defaultRowHeight="15"/>
  <cols>
    <col min="1" max="1" width="29.8515625" style="0" bestFit="1" customWidth="1"/>
    <col min="3" max="3" width="11.00390625" style="0" bestFit="1" customWidth="1"/>
    <col min="5" max="5" width="12.140625" style="0" bestFit="1" customWidth="1"/>
    <col min="7" max="7" width="11.00390625" style="0" bestFit="1" customWidth="1"/>
    <col min="9" max="9" width="11.00390625" style="0" bestFit="1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</cols>
  <sheetData>
    <row r="1" spans="1:15" ht="15.75" thickBot="1">
      <c r="A1" s="87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5.75" thickBot="1">
      <c r="A2" s="43" t="s">
        <v>40</v>
      </c>
      <c r="B2" s="89" t="s">
        <v>0</v>
      </c>
      <c r="C2" s="90"/>
      <c r="D2" s="91" t="s">
        <v>1</v>
      </c>
      <c r="E2" s="90"/>
      <c r="F2" s="92" t="s">
        <v>2</v>
      </c>
      <c r="G2" s="93"/>
      <c r="H2" s="94" t="s">
        <v>3</v>
      </c>
      <c r="I2" s="95"/>
      <c r="J2" s="92" t="s">
        <v>4</v>
      </c>
      <c r="K2" s="93"/>
      <c r="L2" s="94" t="s">
        <v>5</v>
      </c>
      <c r="M2" s="95"/>
      <c r="N2" s="92" t="s">
        <v>6</v>
      </c>
      <c r="O2" s="93"/>
    </row>
    <row r="3" spans="1:15" ht="15">
      <c r="A3" s="96" t="s">
        <v>36</v>
      </c>
      <c r="B3" s="99">
        <f>1447.47*1.03</f>
        <v>1490.8941</v>
      </c>
      <c r="C3" s="100"/>
      <c r="D3" s="20" t="s">
        <v>12</v>
      </c>
      <c r="E3" s="6">
        <f>1592.21*1.03</f>
        <v>1639.9763</v>
      </c>
      <c r="F3" s="1" t="s">
        <v>14</v>
      </c>
      <c r="G3" s="14">
        <f>1720.49*1.03</f>
        <v>1772.1047</v>
      </c>
      <c r="H3" s="2" t="s">
        <v>16</v>
      </c>
      <c r="I3" s="8">
        <f>1864.21*1.03</f>
        <v>1920.1363000000001</v>
      </c>
      <c r="J3" s="1" t="s">
        <v>25</v>
      </c>
      <c r="K3" s="14">
        <f>2025.19*1.03</f>
        <v>2085.9457</v>
      </c>
      <c r="L3" s="2" t="s">
        <v>19</v>
      </c>
      <c r="M3" s="8">
        <f>2103.25*1.03</f>
        <v>2166.3475</v>
      </c>
      <c r="N3" s="1" t="s">
        <v>20</v>
      </c>
      <c r="O3" s="8">
        <f>2166.36*1.03</f>
        <v>2231.3508</v>
      </c>
    </row>
    <row r="4" spans="1:15" ht="15.75" thickBot="1">
      <c r="A4" s="97"/>
      <c r="B4" s="101"/>
      <c r="C4" s="102"/>
      <c r="D4" s="32" t="s">
        <v>13</v>
      </c>
      <c r="E4" s="7">
        <f>1621.16*1.03</f>
        <v>1669.7948000000001</v>
      </c>
      <c r="F4" s="3" t="s">
        <v>15</v>
      </c>
      <c r="G4" s="9">
        <f>1751.78*1.03</f>
        <v>1804.3334</v>
      </c>
      <c r="H4" s="4" t="s">
        <v>17</v>
      </c>
      <c r="I4" s="9">
        <f>1898.1*1.03</f>
        <v>1955.043</v>
      </c>
      <c r="J4" s="3" t="s">
        <v>27</v>
      </c>
      <c r="K4" s="9">
        <f>2062.02*1.03</f>
        <v>2123.8806</v>
      </c>
      <c r="L4" s="4" t="s">
        <v>28</v>
      </c>
      <c r="M4" s="9">
        <f>2123.89*1.03</f>
        <v>2187.6067</v>
      </c>
      <c r="N4" s="3" t="s">
        <v>29</v>
      </c>
      <c r="O4" s="9">
        <f>2187.6*1.03</f>
        <v>2253.228</v>
      </c>
    </row>
    <row r="5" spans="1:15" ht="15.75" thickBot="1">
      <c r="A5" s="9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5.75" thickBot="1">
      <c r="A6" s="97"/>
      <c r="B6" s="94" t="s">
        <v>7</v>
      </c>
      <c r="C6" s="93"/>
      <c r="D6" s="30"/>
      <c r="E6" s="31" t="s">
        <v>8</v>
      </c>
      <c r="F6" s="33"/>
      <c r="G6" s="36" t="s">
        <v>9</v>
      </c>
      <c r="H6" s="30"/>
      <c r="I6" s="31" t="s">
        <v>10</v>
      </c>
      <c r="J6" s="30"/>
      <c r="K6" s="31" t="s">
        <v>11</v>
      </c>
      <c r="L6" s="103"/>
      <c r="M6" s="104"/>
      <c r="N6" s="103"/>
      <c r="O6" s="104"/>
    </row>
    <row r="7" spans="1:15" ht="15">
      <c r="A7" s="97"/>
      <c r="B7" s="2" t="s">
        <v>21</v>
      </c>
      <c r="C7" s="8">
        <f>2231.35*1.03</f>
        <v>2298.2905</v>
      </c>
      <c r="D7" s="1" t="s">
        <v>22</v>
      </c>
      <c r="E7" s="14">
        <f>2298.29*1.03</f>
        <v>2367.2387</v>
      </c>
      <c r="F7" s="2" t="s">
        <v>23</v>
      </c>
      <c r="G7" s="8">
        <f>2367.23*1.03</f>
        <v>2438.2469</v>
      </c>
      <c r="H7" s="1" t="s">
        <v>24</v>
      </c>
      <c r="I7" s="8">
        <f>2438.24*1.03</f>
        <v>2511.3871999999997</v>
      </c>
      <c r="J7" s="1" t="s">
        <v>26</v>
      </c>
      <c r="K7" s="8">
        <f>2511.39*1.03</f>
        <v>2586.7317</v>
      </c>
      <c r="L7" s="10"/>
      <c r="M7" s="8"/>
      <c r="N7" s="10"/>
      <c r="O7" s="8"/>
    </row>
    <row r="8" spans="1:15" ht="15.75" thickBot="1">
      <c r="A8" s="98"/>
      <c r="B8" s="4" t="s">
        <v>30</v>
      </c>
      <c r="C8" s="9">
        <f>2253.23*1.03</f>
        <v>2320.8269</v>
      </c>
      <c r="D8" s="3" t="s">
        <v>31</v>
      </c>
      <c r="E8" s="9">
        <f>2320.82*1.03</f>
        <v>2390.4446000000003</v>
      </c>
      <c r="F8" s="4" t="s">
        <v>32</v>
      </c>
      <c r="G8" s="9">
        <f>2390.44*1.03</f>
        <v>2462.1532</v>
      </c>
      <c r="H8" s="3" t="s">
        <v>33</v>
      </c>
      <c r="I8" s="9">
        <f>2462.15*1.03</f>
        <v>2536.0145</v>
      </c>
      <c r="J8" s="3" t="s">
        <v>34</v>
      </c>
      <c r="K8" s="9">
        <f>2536*1.03</f>
        <v>2612.08</v>
      </c>
      <c r="L8" s="11"/>
      <c r="M8" s="9"/>
      <c r="N8" s="11"/>
      <c r="O8" s="9"/>
    </row>
    <row r="9" spans="1:15" ht="15.75" thickBot="1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>
      <c r="A10" s="44" t="s">
        <v>41</v>
      </c>
      <c r="B10" s="105" t="s">
        <v>0</v>
      </c>
      <c r="C10" s="106"/>
      <c r="D10" s="35"/>
      <c r="E10" s="35" t="s">
        <v>1</v>
      </c>
      <c r="F10" s="107" t="s">
        <v>2</v>
      </c>
      <c r="G10" s="108"/>
      <c r="H10" s="109" t="s">
        <v>3</v>
      </c>
      <c r="I10" s="110"/>
      <c r="J10" s="107" t="s">
        <v>4</v>
      </c>
      <c r="K10" s="108"/>
      <c r="L10" s="109" t="s">
        <v>5</v>
      </c>
      <c r="M10" s="110"/>
      <c r="N10" s="107" t="s">
        <v>6</v>
      </c>
      <c r="O10" s="108"/>
    </row>
    <row r="11" spans="1:15" ht="15">
      <c r="A11" s="96" t="s">
        <v>35</v>
      </c>
      <c r="B11" s="99">
        <f>2517.12*1.03</f>
        <v>2592.6336</v>
      </c>
      <c r="C11" s="100"/>
      <c r="D11" s="20" t="str">
        <f>D3</f>
        <v>B10</v>
      </c>
      <c r="E11" s="8">
        <f>2768.83*1.03</f>
        <v>2851.8949</v>
      </c>
      <c r="F11" s="1" t="str">
        <f>F3</f>
        <v>C10</v>
      </c>
      <c r="G11" s="14">
        <f>3101.09*1.03</f>
        <v>3194.1227000000003</v>
      </c>
      <c r="H11" s="2" t="str">
        <f>H3</f>
        <v>D10</v>
      </c>
      <c r="I11" s="8">
        <f>3473.22*1.03</f>
        <v>3577.4166</v>
      </c>
      <c r="J11" s="1" t="str">
        <f>J3</f>
        <v>E2</v>
      </c>
      <c r="K11" s="14">
        <f>3890.02*1.03</f>
        <v>4006.7206</v>
      </c>
      <c r="L11" s="2" t="str">
        <f>L3</f>
        <v>F2</v>
      </c>
      <c r="M11" s="8">
        <f>4039.96*1.03</f>
        <v>4161.1588</v>
      </c>
      <c r="N11" s="1" t="str">
        <f>N3</f>
        <v>G2</v>
      </c>
      <c r="O11" s="8">
        <f>4161.16*1.03</f>
        <v>4285.9948</v>
      </c>
    </row>
    <row r="12" spans="1:15" ht="15.75" thickBot="1">
      <c r="A12" s="97"/>
      <c r="B12" s="101"/>
      <c r="C12" s="102"/>
      <c r="D12" s="32" t="str">
        <f>D4</f>
        <v>B12</v>
      </c>
      <c r="E12" s="9">
        <f>2819.17*1.03</f>
        <v>2903.7451</v>
      </c>
      <c r="F12" s="3" t="str">
        <f>F4</f>
        <v>C12</v>
      </c>
      <c r="G12" s="9">
        <f>3157.48*1.03</f>
        <v>3252.2044</v>
      </c>
      <c r="H12" s="4" t="str">
        <f>H4</f>
        <v>D12</v>
      </c>
      <c r="I12" s="9">
        <f>3536.39*1.03</f>
        <v>3642.4817</v>
      </c>
      <c r="J12" s="3" t="str">
        <f>J4</f>
        <v>E1</v>
      </c>
      <c r="K12" s="9">
        <f>3960.75*1.03</f>
        <v>4079.5725</v>
      </c>
      <c r="L12" s="4" t="str">
        <f>L4</f>
        <v>F1</v>
      </c>
      <c r="M12" s="9">
        <f>4079.57*1.03</f>
        <v>4201.9571000000005</v>
      </c>
      <c r="N12" s="3" t="str">
        <f>N4</f>
        <v>G1</v>
      </c>
      <c r="O12" s="9">
        <f>4201.95*1.03</f>
        <v>4328.0085</v>
      </c>
    </row>
    <row r="13" spans="1:15" ht="15.75" thickBot="1">
      <c r="A13" s="9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ht="15.75" thickBot="1">
      <c r="A14" s="97"/>
      <c r="B14" s="94" t="s">
        <v>7</v>
      </c>
      <c r="C14" s="93"/>
      <c r="D14" s="30"/>
      <c r="E14" s="31" t="s">
        <v>8</v>
      </c>
      <c r="F14" s="33"/>
      <c r="G14" s="36" t="s">
        <v>9</v>
      </c>
      <c r="H14" s="30"/>
      <c r="I14" s="31" t="s">
        <v>10</v>
      </c>
      <c r="J14" s="30"/>
      <c r="K14" s="31" t="s">
        <v>11</v>
      </c>
      <c r="L14" s="107"/>
      <c r="M14" s="108"/>
      <c r="N14" s="109"/>
      <c r="O14" s="108"/>
    </row>
    <row r="15" spans="1:15" ht="15">
      <c r="A15" s="97"/>
      <c r="B15" s="2" t="str">
        <f>B7</f>
        <v>H2</v>
      </c>
      <c r="C15" s="8">
        <f>4285.95*1.03</f>
        <v>4414.5285</v>
      </c>
      <c r="D15" s="2" t="str">
        <f>D7</f>
        <v>I2</v>
      </c>
      <c r="E15" s="41">
        <f>4414.52*1.03</f>
        <v>4546.9556</v>
      </c>
      <c r="F15" s="1" t="str">
        <f>F7</f>
        <v>J2</v>
      </c>
      <c r="G15" s="8">
        <f>4546.95*1.03</f>
        <v>4683.3585</v>
      </c>
      <c r="H15" s="1" t="str">
        <f>H7</f>
        <v>K2</v>
      </c>
      <c r="I15" s="8">
        <f>4683.4*1.03</f>
        <v>4823.902</v>
      </c>
      <c r="J15" s="2" t="str">
        <f>J7</f>
        <v>L2</v>
      </c>
      <c r="K15" s="8">
        <f>4823.89*1.03</f>
        <v>4968.6067</v>
      </c>
      <c r="L15" s="1"/>
      <c r="M15" s="8"/>
      <c r="N15" s="2"/>
      <c r="O15" s="8"/>
    </row>
    <row r="16" spans="1:15" ht="15.75" thickBot="1">
      <c r="A16" s="98"/>
      <c r="B16" s="4" t="str">
        <f>B8</f>
        <v>H1</v>
      </c>
      <c r="C16" s="9">
        <f>4327.97*1.03</f>
        <v>4457.8091</v>
      </c>
      <c r="D16" s="4" t="str">
        <f>D8</f>
        <v>I1</v>
      </c>
      <c r="E16" s="42">
        <f>4457.8*1.03</f>
        <v>4591.534000000001</v>
      </c>
      <c r="F16" s="3" t="str">
        <f>F8</f>
        <v>J1</v>
      </c>
      <c r="G16" s="9">
        <f>4591.53*1.03</f>
        <v>4729.2759</v>
      </c>
      <c r="H16" s="3" t="str">
        <f>H8</f>
        <v>K1</v>
      </c>
      <c r="I16" s="9">
        <f>4729.31*1.03</f>
        <v>4871.189300000001</v>
      </c>
      <c r="J16" s="4" t="str">
        <f>J8</f>
        <v>L1</v>
      </c>
      <c r="K16" s="9">
        <f>4871.18*1.03</f>
        <v>5017.3154</v>
      </c>
      <c r="L16" s="3"/>
      <c r="M16" s="9"/>
      <c r="N16" s="4"/>
      <c r="O16" s="9"/>
    </row>
    <row r="17" spans="1:15" ht="15.75" thickBot="1">
      <c r="A17" s="2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>
      <c r="A18" s="44" t="s">
        <v>42</v>
      </c>
      <c r="B18" s="105" t="s">
        <v>0</v>
      </c>
      <c r="C18" s="106"/>
      <c r="D18" s="35"/>
      <c r="E18" s="35" t="s">
        <v>1</v>
      </c>
      <c r="F18" s="107" t="s">
        <v>2</v>
      </c>
      <c r="G18" s="108"/>
      <c r="H18" s="109" t="s">
        <v>3</v>
      </c>
      <c r="I18" s="110"/>
      <c r="J18" s="107" t="s">
        <v>4</v>
      </c>
      <c r="K18" s="108"/>
      <c r="L18" s="109" t="s">
        <v>5</v>
      </c>
      <c r="M18" s="110"/>
      <c r="N18" s="107" t="s">
        <v>6</v>
      </c>
      <c r="O18" s="108"/>
    </row>
    <row r="19" spans="1:15" ht="15">
      <c r="A19" s="96" t="s">
        <v>37</v>
      </c>
      <c r="B19" s="99">
        <f>2517.12*1.03</f>
        <v>2592.6336</v>
      </c>
      <c r="C19" s="100"/>
      <c r="D19" s="1" t="str">
        <f>D3</f>
        <v>B10</v>
      </c>
      <c r="E19" s="8">
        <f>2768.83*1.03</f>
        <v>2851.8949</v>
      </c>
      <c r="F19" s="2" t="str">
        <f>F3</f>
        <v>C10</v>
      </c>
      <c r="G19" s="41">
        <f>3101.1*1.03</f>
        <v>3194.133</v>
      </c>
      <c r="H19" s="1" t="str">
        <f>H3</f>
        <v>D10</v>
      </c>
      <c r="I19" s="8">
        <f>3473.22*1.03</f>
        <v>3577.4166</v>
      </c>
      <c r="J19" s="2" t="str">
        <f>J3</f>
        <v>E2</v>
      </c>
      <c r="K19" s="41">
        <f>3890.02*1.03</f>
        <v>4006.7206</v>
      </c>
      <c r="L19" s="1" t="str">
        <f>L3</f>
        <v>F2</v>
      </c>
      <c r="M19" s="8">
        <f>4039.96*1.03</f>
        <v>4161.1588</v>
      </c>
      <c r="N19" s="1" t="str">
        <f>N3</f>
        <v>G2</v>
      </c>
      <c r="O19" s="8">
        <f>4161.16*1.03</f>
        <v>4285.9948</v>
      </c>
    </row>
    <row r="20" spans="1:15" ht="15.75" thickBot="1">
      <c r="A20" s="97"/>
      <c r="B20" s="101"/>
      <c r="C20" s="102"/>
      <c r="D20" s="3" t="str">
        <f>D4</f>
        <v>B12</v>
      </c>
      <c r="E20" s="9">
        <f>2819.18*1.03</f>
        <v>2903.7554</v>
      </c>
      <c r="F20" s="4" t="str">
        <f>F4</f>
        <v>C12</v>
      </c>
      <c r="G20" s="42">
        <f>3157.48*1.03</f>
        <v>3252.2044</v>
      </c>
      <c r="H20" s="3" t="str">
        <f>H4</f>
        <v>D12</v>
      </c>
      <c r="I20" s="9">
        <f>3536.39*1.03</f>
        <v>3642.4817</v>
      </c>
      <c r="J20" s="4" t="str">
        <f>J4</f>
        <v>E1</v>
      </c>
      <c r="K20" s="42">
        <f>3960.75*1.03</f>
        <v>4079.5725</v>
      </c>
      <c r="L20" s="3" t="str">
        <f>L4</f>
        <v>F1</v>
      </c>
      <c r="M20" s="9">
        <f>4079.57*1.03</f>
        <v>4201.9571000000005</v>
      </c>
      <c r="N20" s="3" t="str">
        <f>N4</f>
        <v>G1</v>
      </c>
      <c r="O20" s="9">
        <f>4201.95*1.03</f>
        <v>4328.0085</v>
      </c>
    </row>
    <row r="21" spans="1:15" ht="15.75" thickBot="1">
      <c r="A21" s="9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ht="15.75" thickBot="1">
      <c r="A22" s="97"/>
      <c r="B22" s="94" t="s">
        <v>7</v>
      </c>
      <c r="C22" s="93"/>
      <c r="D22" s="30"/>
      <c r="E22" s="31" t="s">
        <v>8</v>
      </c>
      <c r="F22" s="33"/>
      <c r="G22" s="36" t="s">
        <v>9</v>
      </c>
      <c r="H22" s="30"/>
      <c r="I22" s="31" t="s">
        <v>10</v>
      </c>
      <c r="J22" s="30"/>
      <c r="K22" s="31" t="s">
        <v>11</v>
      </c>
      <c r="L22" s="107"/>
      <c r="M22" s="108"/>
      <c r="N22" s="109"/>
      <c r="O22" s="108"/>
    </row>
    <row r="23" spans="1:15" ht="15">
      <c r="A23" s="97"/>
      <c r="B23" s="2" t="str">
        <f>B7</f>
        <v>H2</v>
      </c>
      <c r="C23" s="8">
        <v>4414.53</v>
      </c>
      <c r="D23" s="2" t="str">
        <f>D7</f>
        <v>I2</v>
      </c>
      <c r="E23" s="41">
        <v>4546.96</v>
      </c>
      <c r="F23" s="1" t="str">
        <f>F7</f>
        <v>J2</v>
      </c>
      <c r="G23" s="8">
        <f>4546.99*1.03</f>
        <v>4683.3997</v>
      </c>
      <c r="H23" s="1" t="str">
        <f>H7</f>
        <v>K2</v>
      </c>
      <c r="I23" s="8">
        <f>4683.4*1.03</f>
        <v>4823.902</v>
      </c>
      <c r="J23" s="2" t="str">
        <f>J7</f>
        <v>L2</v>
      </c>
      <c r="K23" s="8">
        <f>4823.89*1.03</f>
        <v>4968.6067</v>
      </c>
      <c r="L23" s="1"/>
      <c r="M23" s="8"/>
      <c r="N23" s="2"/>
      <c r="O23" s="8"/>
    </row>
    <row r="24" spans="1:15" ht="15.75" thickBot="1">
      <c r="A24" s="98"/>
      <c r="B24" s="4" t="str">
        <f>B8</f>
        <v>H1</v>
      </c>
      <c r="C24" s="9">
        <f>4328*1.03</f>
        <v>4457.84</v>
      </c>
      <c r="D24" s="4" t="str">
        <f>D8</f>
        <v>I1</v>
      </c>
      <c r="E24" s="42">
        <f>4457.84*1.03</f>
        <v>4591.5752</v>
      </c>
      <c r="F24" s="3" t="str">
        <f>F8</f>
        <v>J1</v>
      </c>
      <c r="G24" s="9">
        <f>4591.57*1.03</f>
        <v>4729.3171</v>
      </c>
      <c r="H24" s="3" t="str">
        <f>H8</f>
        <v>K1</v>
      </c>
      <c r="I24" s="9">
        <f>4729.31*1.03</f>
        <v>4871.189300000001</v>
      </c>
      <c r="J24" s="4" t="str">
        <f>J8</f>
        <v>L1</v>
      </c>
      <c r="K24" s="9">
        <f>4871.18*1.03</f>
        <v>5017.3154</v>
      </c>
      <c r="L24" s="3"/>
      <c r="M24" s="9"/>
      <c r="N24" s="4"/>
      <c r="O24" s="9"/>
    </row>
    <row r="25" spans="1:15" ht="15.75" thickBo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 thickBot="1">
      <c r="A26" s="45" t="s">
        <v>42</v>
      </c>
      <c r="B26" s="105" t="s">
        <v>0</v>
      </c>
      <c r="C26" s="106"/>
      <c r="D26" s="35"/>
      <c r="E26" s="35" t="s">
        <v>1</v>
      </c>
      <c r="F26" s="107" t="s">
        <v>2</v>
      </c>
      <c r="G26" s="108"/>
      <c r="H26" s="109" t="s">
        <v>3</v>
      </c>
      <c r="I26" s="110"/>
      <c r="J26" s="107" t="s">
        <v>4</v>
      </c>
      <c r="K26" s="108"/>
      <c r="L26" s="109" t="s">
        <v>5</v>
      </c>
      <c r="M26" s="110"/>
      <c r="N26" s="107" t="s">
        <v>6</v>
      </c>
      <c r="O26" s="108"/>
    </row>
    <row r="27" spans="1:15" ht="15">
      <c r="A27" s="96" t="s">
        <v>39</v>
      </c>
      <c r="B27" s="99">
        <f>1294.13*1.03</f>
        <v>1332.9539000000002</v>
      </c>
      <c r="C27" s="100"/>
      <c r="D27" s="1" t="str">
        <f>D19</f>
        <v>B10</v>
      </c>
      <c r="E27" s="8">
        <f>1423.54*1.03</f>
        <v>1466.2462</v>
      </c>
      <c r="F27" s="2" t="str">
        <f>F19</f>
        <v>C10</v>
      </c>
      <c r="G27" s="41">
        <f>1594.36*1.03</f>
        <v>1642.1907999999999</v>
      </c>
      <c r="H27" s="1" t="str">
        <f>H19</f>
        <v>D10</v>
      </c>
      <c r="I27" s="8">
        <f>1785.68*1.03</f>
        <v>1839.2504000000001</v>
      </c>
      <c r="J27" s="2" t="str">
        <f>J19</f>
        <v>E2</v>
      </c>
      <c r="K27" s="41">
        <f>1999.96*1.03</f>
        <v>2059.9588</v>
      </c>
      <c r="L27" s="1" t="str">
        <f>L19</f>
        <v>F2</v>
      </c>
      <c r="M27" s="8">
        <f>2077.04*1.03</f>
        <v>2139.3512</v>
      </c>
      <c r="N27" s="1" t="str">
        <f>N19</f>
        <v>G2</v>
      </c>
      <c r="O27" s="8">
        <f>2139.34*1.03</f>
        <v>2203.5202000000004</v>
      </c>
    </row>
    <row r="28" spans="1:15" ht="15.75" thickBot="1">
      <c r="A28" s="97"/>
      <c r="B28" s="101"/>
      <c r="C28" s="102"/>
      <c r="D28" s="3" t="str">
        <f>D20</f>
        <v>B12</v>
      </c>
      <c r="E28" s="9">
        <f>1449.42*1.03</f>
        <v>1492.9026000000001</v>
      </c>
      <c r="F28" s="4" t="str">
        <f>F20</f>
        <v>C12</v>
      </c>
      <c r="G28" s="42">
        <f>1623.35*1.03</f>
        <v>1672.0505</v>
      </c>
      <c r="H28" s="3" t="str">
        <f>H20</f>
        <v>D12</v>
      </c>
      <c r="I28" s="9">
        <f>1818.15*1.03</f>
        <v>1872.6945</v>
      </c>
      <c r="J28" s="4" t="str">
        <f>J20</f>
        <v>E1</v>
      </c>
      <c r="K28" s="42">
        <f>2036.32*1.03</f>
        <v>2097.4096</v>
      </c>
      <c r="L28" s="3" t="str">
        <f>L20</f>
        <v>F1</v>
      </c>
      <c r="M28" s="9">
        <f>2097.4*1.03</f>
        <v>2160.322</v>
      </c>
      <c r="N28" s="3" t="str">
        <f>N20</f>
        <v>G1</v>
      </c>
      <c r="O28" s="9">
        <f>2160.32*1.03</f>
        <v>2225.1296</v>
      </c>
    </row>
    <row r="29" spans="1:15" ht="15.75" thickBot="1">
      <c r="A29" s="9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ht="15.75" thickBot="1">
      <c r="A30" s="97"/>
      <c r="B30" s="94" t="s">
        <v>7</v>
      </c>
      <c r="C30" s="93"/>
      <c r="D30" s="30"/>
      <c r="E30" s="31" t="s">
        <v>8</v>
      </c>
      <c r="F30" s="33"/>
      <c r="G30" s="36" t="s">
        <v>9</v>
      </c>
      <c r="H30" s="30"/>
      <c r="I30" s="31" t="s">
        <v>10</v>
      </c>
      <c r="J30" s="30"/>
      <c r="K30" s="31" t="s">
        <v>11</v>
      </c>
      <c r="L30" s="107"/>
      <c r="M30" s="108"/>
      <c r="N30" s="109"/>
      <c r="O30" s="108"/>
    </row>
    <row r="31" spans="1:15" ht="15">
      <c r="A31" s="97"/>
      <c r="B31" s="2" t="str">
        <f>B23</f>
        <v>H2</v>
      </c>
      <c r="C31" s="8">
        <f>2203.52*1.03</f>
        <v>2269.6256</v>
      </c>
      <c r="D31" s="2" t="str">
        <f>D23</f>
        <v>I2</v>
      </c>
      <c r="E31" s="41">
        <f>2269.62*1.03</f>
        <v>2337.7086</v>
      </c>
      <c r="F31" s="1" t="str">
        <f>F23</f>
        <v>J2</v>
      </c>
      <c r="G31" s="8">
        <f>2337.7*1.03</f>
        <v>2407.8309999999997</v>
      </c>
      <c r="H31" s="1" t="str">
        <f>H23</f>
        <v>K2</v>
      </c>
      <c r="I31" s="8">
        <f>2408.07*1.03</f>
        <v>2480.3121</v>
      </c>
      <c r="J31" s="2" t="str">
        <f>J23</f>
        <v>L2</v>
      </c>
      <c r="K31" s="8">
        <f>2480.05*1.03</f>
        <v>2554.4515</v>
      </c>
      <c r="L31" s="1"/>
      <c r="M31" s="8"/>
      <c r="N31" s="2"/>
      <c r="O31" s="8"/>
    </row>
    <row r="32" spans="1:15" ht="15.75" thickBot="1">
      <c r="A32" s="98"/>
      <c r="B32" s="4" t="str">
        <f>B24</f>
        <v>H1</v>
      </c>
      <c r="C32" s="9">
        <f>2225.12*1.03</f>
        <v>2291.8736</v>
      </c>
      <c r="D32" s="4" t="str">
        <f>D24</f>
        <v>I1</v>
      </c>
      <c r="E32" s="42">
        <f>2291.87*1.03</f>
        <v>2360.6261</v>
      </c>
      <c r="F32" s="3" t="str">
        <f>F24</f>
        <v>J1</v>
      </c>
      <c r="G32" s="9">
        <f>2360.62*1.03</f>
        <v>2431.4386</v>
      </c>
      <c r="H32" s="3" t="str">
        <f>H24</f>
        <v>K1</v>
      </c>
      <c r="I32" s="9">
        <f>2431.43*1.03</f>
        <v>2504.3729</v>
      </c>
      <c r="J32" s="4" t="str">
        <f>J24</f>
        <v>L1</v>
      </c>
      <c r="K32" s="9">
        <f>2504.37*1.03</f>
        <v>2579.5011</v>
      </c>
      <c r="L32" s="3"/>
      <c r="M32" s="9"/>
      <c r="N32" s="4"/>
      <c r="O32" s="9"/>
    </row>
    <row r="33" spans="1:15" ht="15.75" thickBot="1">
      <c r="A33" s="21"/>
      <c r="B33" s="12"/>
      <c r="C33" s="13"/>
      <c r="D33" s="13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</row>
    <row r="34" spans="1:15" ht="15.75" thickBot="1">
      <c r="A34" s="45" t="s">
        <v>43</v>
      </c>
      <c r="B34" s="105" t="s">
        <v>0</v>
      </c>
      <c r="C34" s="106"/>
      <c r="D34" s="34"/>
      <c r="E34" s="35" t="s">
        <v>1</v>
      </c>
      <c r="F34" s="107" t="s">
        <v>2</v>
      </c>
      <c r="G34" s="108"/>
      <c r="H34" s="109" t="s">
        <v>3</v>
      </c>
      <c r="I34" s="110"/>
      <c r="J34" s="107" t="s">
        <v>4</v>
      </c>
      <c r="K34" s="108"/>
      <c r="L34" s="109" t="s">
        <v>5</v>
      </c>
      <c r="M34" s="110"/>
      <c r="N34" s="107" t="s">
        <v>6</v>
      </c>
      <c r="O34" s="108"/>
    </row>
    <row r="35" spans="1:15" ht="15">
      <c r="A35" s="96" t="s">
        <v>38</v>
      </c>
      <c r="B35" s="99">
        <f>2951.59*1.03</f>
        <v>3040.1377</v>
      </c>
      <c r="C35" s="111"/>
      <c r="D35" s="22" t="str">
        <f>D27</f>
        <v>B10</v>
      </c>
      <c r="E35" s="8">
        <f>3246.74*1.03</f>
        <v>3344.1422</v>
      </c>
      <c r="F35" s="2" t="str">
        <f>F27</f>
        <v>C10</v>
      </c>
      <c r="G35" s="41">
        <f>3636.35*1.03</f>
        <v>3745.4405</v>
      </c>
      <c r="H35" s="1" t="str">
        <f>H27</f>
        <v>D10</v>
      </c>
      <c r="I35" s="8">
        <f>4072.71*1.03</f>
        <v>4194.8913</v>
      </c>
      <c r="J35" s="2" t="str">
        <f>J27</f>
        <v>E2</v>
      </c>
      <c r="K35" s="41">
        <f>4561.43*1.03</f>
        <v>4698.272900000001</v>
      </c>
      <c r="L35" s="1" t="str">
        <f>L27</f>
        <v>F2</v>
      </c>
      <c r="M35" s="8">
        <f>4737.25*1.03</f>
        <v>4879.3675</v>
      </c>
      <c r="N35" s="1" t="str">
        <f>N27</f>
        <v>G2</v>
      </c>
      <c r="O35" s="8">
        <f>4879.37*1.03</f>
        <v>5025.7511</v>
      </c>
    </row>
    <row r="36" spans="1:15" ht="15.75" thickBot="1">
      <c r="A36" s="97"/>
      <c r="B36" s="101"/>
      <c r="C36" s="102"/>
      <c r="D36" s="32" t="str">
        <f>D28</f>
        <v>B12</v>
      </c>
      <c r="E36" s="9">
        <f>3305.787*1.03</f>
        <v>3404.96061</v>
      </c>
      <c r="F36" s="4" t="str">
        <f>F28</f>
        <v>C12</v>
      </c>
      <c r="G36" s="42">
        <f>3702.47*1.03</f>
        <v>3813.5441</v>
      </c>
      <c r="H36" s="3" t="str">
        <f>H28</f>
        <v>D12</v>
      </c>
      <c r="I36" s="9">
        <f>4146.76*1.03</f>
        <v>4271.1628</v>
      </c>
      <c r="J36" s="4" t="str">
        <f>J28</f>
        <v>E1</v>
      </c>
      <c r="K36" s="42">
        <f>4644.37*1.03</f>
        <v>4783.7011</v>
      </c>
      <c r="L36" s="3" t="str">
        <f>L28</f>
        <v>F1</v>
      </c>
      <c r="M36" s="9">
        <f>4783.72*1.03</f>
        <v>4927.2316</v>
      </c>
      <c r="N36" s="3" t="str">
        <f>N28</f>
        <v>G1</v>
      </c>
      <c r="O36" s="9">
        <f>4927.21*1.03</f>
        <v>5075.0263</v>
      </c>
    </row>
    <row r="37" spans="1:15" ht="15.75" thickBot="1">
      <c r="A37" s="9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.75" thickBot="1">
      <c r="A38" s="97"/>
      <c r="B38" s="94" t="s">
        <v>7</v>
      </c>
      <c r="C38" s="93"/>
      <c r="D38" s="30"/>
      <c r="E38" s="31" t="s">
        <v>8</v>
      </c>
      <c r="F38" s="33"/>
      <c r="G38" s="36" t="s">
        <v>9</v>
      </c>
      <c r="H38" s="30"/>
      <c r="I38" s="31" t="s">
        <v>10</v>
      </c>
      <c r="J38" s="30"/>
      <c r="K38" s="31" t="s">
        <v>11</v>
      </c>
      <c r="L38" s="107"/>
      <c r="M38" s="108"/>
      <c r="N38" s="109"/>
      <c r="O38" s="108"/>
    </row>
    <row r="39" spans="1:15" ht="15">
      <c r="A39" s="97"/>
      <c r="B39" s="2" t="str">
        <f>B31</f>
        <v>H2</v>
      </c>
      <c r="C39" s="8">
        <f>5025.75*1.03</f>
        <v>5176.5225</v>
      </c>
      <c r="D39" s="2" t="str">
        <f>D31</f>
        <v>I2</v>
      </c>
      <c r="E39" s="41">
        <f>5176.25*1.03</f>
        <v>5331.5375</v>
      </c>
      <c r="F39" s="1" t="str">
        <f>F31</f>
        <v>J2</v>
      </c>
      <c r="G39" s="8">
        <f>5331.81*1.03</f>
        <v>5491.764300000001</v>
      </c>
      <c r="H39" s="1" t="str">
        <f>H31</f>
        <v>K2</v>
      </c>
      <c r="I39" s="8">
        <f>5491.76*1.03</f>
        <v>5656.5128</v>
      </c>
      <c r="J39" s="2" t="str">
        <f>J31</f>
        <v>L2</v>
      </c>
      <c r="K39" s="8">
        <f>5656.51*1.03</f>
        <v>5826.2053000000005</v>
      </c>
      <c r="L39" s="1"/>
      <c r="M39" s="8"/>
      <c r="N39" s="2"/>
      <c r="O39" s="8"/>
    </row>
    <row r="40" spans="1:15" ht="15.75" thickBot="1">
      <c r="A40" s="98"/>
      <c r="B40" s="4" t="str">
        <f>B32</f>
        <v>H1</v>
      </c>
      <c r="C40" s="9">
        <f>5075.02*1.03</f>
        <v>5227.270600000001</v>
      </c>
      <c r="D40" s="4" t="str">
        <f>D32</f>
        <v>I1</v>
      </c>
      <c r="E40" s="42">
        <f>5227.27*1.03</f>
        <v>5384.088100000001</v>
      </c>
      <c r="F40" s="3" t="str">
        <f>F32</f>
        <v>J1</v>
      </c>
      <c r="G40" s="9">
        <f>5384.08*1.03</f>
        <v>5545.6024</v>
      </c>
      <c r="H40" s="3" t="str">
        <f>H32</f>
        <v>K1</v>
      </c>
      <c r="I40" s="9">
        <f>5545.6*1.03</f>
        <v>5711.968000000001</v>
      </c>
      <c r="J40" s="4" t="str">
        <f>J32</f>
        <v>L1</v>
      </c>
      <c r="K40" s="9">
        <f>5711.96*1.03</f>
        <v>5883.3188</v>
      </c>
      <c r="L40" s="3"/>
      <c r="M40" s="9"/>
      <c r="N40" s="4"/>
      <c r="O40" s="9"/>
    </row>
    <row r="41" spans="1:15" ht="15.75" thickBot="1">
      <c r="A41" s="21"/>
      <c r="B41" s="12"/>
      <c r="C41" s="13"/>
      <c r="D41" s="13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</row>
    <row r="42" spans="1:15" ht="15.75" thickBot="1">
      <c r="A42" s="45" t="s">
        <v>44</v>
      </c>
      <c r="B42" s="105" t="s">
        <v>0</v>
      </c>
      <c r="C42" s="106"/>
      <c r="D42" s="35"/>
      <c r="E42" s="35" t="s">
        <v>1</v>
      </c>
      <c r="F42" s="107" t="s">
        <v>2</v>
      </c>
      <c r="G42" s="108"/>
      <c r="H42" s="109" t="s">
        <v>3</v>
      </c>
      <c r="I42" s="110"/>
      <c r="J42" s="107" t="s">
        <v>4</v>
      </c>
      <c r="K42" s="108"/>
      <c r="L42" s="109" t="s">
        <v>5</v>
      </c>
      <c r="M42" s="110"/>
      <c r="N42" s="107" t="s">
        <v>6</v>
      </c>
      <c r="O42" s="108"/>
    </row>
    <row r="43" spans="1:15" ht="15">
      <c r="A43" s="96" t="s">
        <v>18</v>
      </c>
      <c r="B43" s="99">
        <f>4466.56*1.03</f>
        <v>4600.5568</v>
      </c>
      <c r="C43" s="100"/>
      <c r="D43" s="20" t="str">
        <f>D35</f>
        <v>B10</v>
      </c>
      <c r="E43" s="8">
        <f>4913.21*1.03</f>
        <v>5060.6063</v>
      </c>
      <c r="F43" s="2" t="str">
        <f>F35</f>
        <v>C10</v>
      </c>
      <c r="G43" s="41">
        <f>5502.81*1.03</f>
        <v>5667.894300000001</v>
      </c>
      <c r="H43" s="1" t="str">
        <f>H35</f>
        <v>D10</v>
      </c>
      <c r="I43" s="8">
        <f>6163.14*1.03</f>
        <v>6348.0342</v>
      </c>
      <c r="J43" s="2" t="str">
        <f>J35</f>
        <v>E2</v>
      </c>
      <c r="K43" s="41">
        <f>6902.72*1.03</f>
        <v>7109.801600000001</v>
      </c>
      <c r="L43" s="1" t="str">
        <f>L35</f>
        <v>F2</v>
      </c>
      <c r="M43" s="8">
        <f>7168.78*1.03</f>
        <v>7383.8434</v>
      </c>
      <c r="N43" s="1" t="str">
        <f>N35</f>
        <v>G2</v>
      </c>
      <c r="O43" s="8">
        <f>7383.84*1.03</f>
        <v>7605.3552</v>
      </c>
    </row>
    <row r="44" spans="1:15" ht="15.75" thickBot="1">
      <c r="A44" s="97"/>
      <c r="B44" s="101"/>
      <c r="C44" s="102"/>
      <c r="D44" s="32" t="str">
        <f>D36</f>
        <v>B12</v>
      </c>
      <c r="E44" s="9">
        <f>5002.56*1.03</f>
        <v>5152.6368</v>
      </c>
      <c r="F44" s="4" t="str">
        <f>F36</f>
        <v>C12</v>
      </c>
      <c r="G44" s="42">
        <f>5602.87*1.03</f>
        <v>5770.9561</v>
      </c>
      <c r="H44" s="3" t="str">
        <f>H36</f>
        <v>D12</v>
      </c>
      <c r="I44" s="9">
        <f>6275.2*1.03</f>
        <v>6463.456</v>
      </c>
      <c r="J44" s="4" t="str">
        <f>J36</f>
        <v>E1</v>
      </c>
      <c r="K44" s="42">
        <f>7028.22*1.03</f>
        <v>7239.0666</v>
      </c>
      <c r="L44" s="3" t="str">
        <f>L36</f>
        <v>F1</v>
      </c>
      <c r="M44" s="9">
        <f>7239.06*1.03</f>
        <v>7456.2318000000005</v>
      </c>
      <c r="N44" s="3" t="str">
        <f>N36</f>
        <v>G1</v>
      </c>
      <c r="O44" s="9">
        <f>7456.23*1.03</f>
        <v>7679.9169</v>
      </c>
    </row>
    <row r="45" spans="1:15" ht="15.75" thickBot="1">
      <c r="A45" s="9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.75" thickBot="1">
      <c r="A46" s="97"/>
      <c r="B46" s="94" t="s">
        <v>7</v>
      </c>
      <c r="C46" s="93"/>
      <c r="D46" s="30"/>
      <c r="E46" s="31" t="s">
        <v>8</v>
      </c>
      <c r="F46" s="33"/>
      <c r="G46" s="36" t="s">
        <v>9</v>
      </c>
      <c r="H46" s="30"/>
      <c r="I46" s="31" t="s">
        <v>10</v>
      </c>
      <c r="J46" s="30"/>
      <c r="K46" s="31" t="s">
        <v>11</v>
      </c>
      <c r="L46" s="109"/>
      <c r="M46" s="108"/>
      <c r="N46" s="109"/>
      <c r="O46" s="108"/>
    </row>
    <row r="47" spans="1:15" ht="15">
      <c r="A47" s="97"/>
      <c r="B47" s="2" t="str">
        <f>B39</f>
        <v>H2</v>
      </c>
      <c r="C47" s="8">
        <f>7605.35*1.03</f>
        <v>7833.5105</v>
      </c>
      <c r="D47" s="1" t="str">
        <f>D39</f>
        <v>I2</v>
      </c>
      <c r="E47" s="8">
        <f>7833.5*1.03</f>
        <v>8068.505</v>
      </c>
      <c r="F47" s="2" t="str">
        <f>F39</f>
        <v>J2</v>
      </c>
      <c r="G47" s="41">
        <f>8068.5*1.03</f>
        <v>8310.555</v>
      </c>
      <c r="H47" s="1" t="str">
        <f>H39</f>
        <v>K2</v>
      </c>
      <c r="I47" s="8">
        <f>8310.55*1.03</f>
        <v>8559.8665</v>
      </c>
      <c r="J47" s="1" t="str">
        <f>J39</f>
        <v>L2</v>
      </c>
      <c r="K47" s="8">
        <f>8559.86*1.03</f>
        <v>8816.6558</v>
      </c>
      <c r="L47" s="2"/>
      <c r="M47" s="8"/>
      <c r="N47" s="2"/>
      <c r="O47" s="8"/>
    </row>
    <row r="48" spans="1:15" ht="15.75" thickBot="1">
      <c r="A48" s="98"/>
      <c r="B48" s="4" t="str">
        <f>B40</f>
        <v>H1</v>
      </c>
      <c r="C48" s="9">
        <f>7679.91*1.03</f>
        <v>7910.3073</v>
      </c>
      <c r="D48" s="3" t="str">
        <f>D40</f>
        <v>I1</v>
      </c>
      <c r="E48" s="9">
        <f>7910.3*1.03</f>
        <v>8147.609</v>
      </c>
      <c r="F48" s="4" t="str">
        <f>F40</f>
        <v>J1</v>
      </c>
      <c r="G48" s="42">
        <f>8147.6*1.03</f>
        <v>8392.028</v>
      </c>
      <c r="H48" s="3" t="str">
        <f>H40</f>
        <v>K1</v>
      </c>
      <c r="I48" s="9">
        <f>8392.02*1.03</f>
        <v>8643.7806</v>
      </c>
      <c r="J48" s="3" t="str">
        <f>J40</f>
        <v>L1</v>
      </c>
      <c r="K48" s="9">
        <f>8643.78*1.03</f>
        <v>8903.093400000002</v>
      </c>
      <c r="L48" s="4"/>
      <c r="M48" s="9"/>
      <c r="N48" s="4"/>
      <c r="O48" s="9"/>
    </row>
  </sheetData>
  <sheetProtection/>
  <mergeCells count="68">
    <mergeCell ref="N42:O42"/>
    <mergeCell ref="A43:A48"/>
    <mergeCell ref="B43:C44"/>
    <mergeCell ref="B46:C46"/>
    <mergeCell ref="L46:M46"/>
    <mergeCell ref="N46:O46"/>
    <mergeCell ref="A35:A40"/>
    <mergeCell ref="B35:C36"/>
    <mergeCell ref="B38:C38"/>
    <mergeCell ref="L38:M38"/>
    <mergeCell ref="N38:O38"/>
    <mergeCell ref="B42:C42"/>
    <mergeCell ref="F42:G42"/>
    <mergeCell ref="H42:I42"/>
    <mergeCell ref="J42:K42"/>
    <mergeCell ref="L42:M42"/>
    <mergeCell ref="B34:C34"/>
    <mergeCell ref="F34:G34"/>
    <mergeCell ref="H34:I34"/>
    <mergeCell ref="J34:K34"/>
    <mergeCell ref="L34:M34"/>
    <mergeCell ref="N34:O34"/>
    <mergeCell ref="N26:O26"/>
    <mergeCell ref="A27:A32"/>
    <mergeCell ref="B27:C28"/>
    <mergeCell ref="B30:C30"/>
    <mergeCell ref="L30:M30"/>
    <mergeCell ref="N30:O30"/>
    <mergeCell ref="A19:A24"/>
    <mergeCell ref="B19:C20"/>
    <mergeCell ref="B22:C22"/>
    <mergeCell ref="L22:M22"/>
    <mergeCell ref="N22:O22"/>
    <mergeCell ref="B26:C26"/>
    <mergeCell ref="F26:G26"/>
    <mergeCell ref="H26:I26"/>
    <mergeCell ref="J26:K26"/>
    <mergeCell ref="L26:M26"/>
    <mergeCell ref="B18:C18"/>
    <mergeCell ref="F18:G18"/>
    <mergeCell ref="H18:I18"/>
    <mergeCell ref="J18:K18"/>
    <mergeCell ref="L18:M18"/>
    <mergeCell ref="N18:O18"/>
    <mergeCell ref="N10:O10"/>
    <mergeCell ref="A11:A16"/>
    <mergeCell ref="B11:C12"/>
    <mergeCell ref="B14:C14"/>
    <mergeCell ref="L14:M14"/>
    <mergeCell ref="N14:O14"/>
    <mergeCell ref="A3:A8"/>
    <mergeCell ref="B3:C4"/>
    <mergeCell ref="B6:C6"/>
    <mergeCell ref="L6:M6"/>
    <mergeCell ref="N6:O6"/>
    <mergeCell ref="B10:C10"/>
    <mergeCell ref="F10:G10"/>
    <mergeCell ref="H10:I10"/>
    <mergeCell ref="J10:K10"/>
    <mergeCell ref="L10:M10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511811024" right="0.511811024" top="0.787401575" bottom="0.787401575" header="0.31496062" footer="0.31496062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K48" sqref="K48"/>
    </sheetView>
  </sheetViews>
  <sheetFormatPr defaultColWidth="9.140625" defaultRowHeight="15"/>
  <cols>
    <col min="1" max="1" width="29.8515625" style="0" bestFit="1" customWidth="1"/>
    <col min="3" max="3" width="11.00390625" style="0" bestFit="1" customWidth="1"/>
    <col min="5" max="5" width="12.140625" style="0" bestFit="1" customWidth="1"/>
    <col min="7" max="7" width="11.00390625" style="0" bestFit="1" customWidth="1"/>
    <col min="9" max="9" width="11.00390625" style="0" bestFit="1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</cols>
  <sheetData>
    <row r="1" spans="1:15" ht="15.75" thickBot="1">
      <c r="A1" s="112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.75" thickBot="1">
      <c r="A2" s="84" t="s">
        <v>40</v>
      </c>
      <c r="B2" s="89" t="s">
        <v>0</v>
      </c>
      <c r="C2" s="90"/>
      <c r="D2" s="91" t="s">
        <v>1</v>
      </c>
      <c r="E2" s="90"/>
      <c r="F2" s="92" t="s">
        <v>2</v>
      </c>
      <c r="G2" s="93"/>
      <c r="H2" s="94" t="s">
        <v>3</v>
      </c>
      <c r="I2" s="95"/>
      <c r="J2" s="92" t="s">
        <v>4</v>
      </c>
      <c r="K2" s="93"/>
      <c r="L2" s="94" t="s">
        <v>5</v>
      </c>
      <c r="M2" s="95"/>
      <c r="N2" s="92" t="s">
        <v>6</v>
      </c>
      <c r="O2" s="93"/>
    </row>
    <row r="3" spans="1:15" ht="15">
      <c r="A3" s="114" t="s">
        <v>36</v>
      </c>
      <c r="B3" s="99">
        <f>1447.47*1.03</f>
        <v>1490.8941</v>
      </c>
      <c r="C3" s="100"/>
      <c r="D3" s="20" t="s">
        <v>12</v>
      </c>
      <c r="E3" s="6">
        <f>B3*10/100+B3</f>
        <v>1639.98351</v>
      </c>
      <c r="F3" s="1" t="s">
        <v>14</v>
      </c>
      <c r="G3" s="14">
        <f>E4*10/100+E4</f>
        <v>1840.06149822</v>
      </c>
      <c r="H3" s="2" t="s">
        <v>16</v>
      </c>
      <c r="I3" s="8">
        <f>G4*10/100+G4</f>
        <v>2064.5490010028398</v>
      </c>
      <c r="J3" s="1" t="s">
        <v>25</v>
      </c>
      <c r="K3" s="14">
        <f>I4*2/100+I4</f>
        <v>2147.9567806433547</v>
      </c>
      <c r="L3" s="2" t="s">
        <v>19</v>
      </c>
      <c r="M3" s="8">
        <f>K4*2/100+K4</f>
        <v>2212.825075418784</v>
      </c>
      <c r="N3" s="1" t="s">
        <v>20</v>
      </c>
      <c r="O3" s="8">
        <f>M4*2/100+M4</f>
        <v>2279.652392696431</v>
      </c>
    </row>
    <row r="4" spans="1:15" ht="15.75" thickBot="1">
      <c r="A4" s="115"/>
      <c r="B4" s="101"/>
      <c r="C4" s="102"/>
      <c r="D4" s="79" t="s">
        <v>91</v>
      </c>
      <c r="E4" s="7">
        <f>E3*2/100+E3</f>
        <v>1672.7831802</v>
      </c>
      <c r="F4" s="3" t="s">
        <v>92</v>
      </c>
      <c r="G4" s="9">
        <f>G3*2/100+G3</f>
        <v>1876.8627281843999</v>
      </c>
      <c r="H4" s="4" t="s">
        <v>93</v>
      </c>
      <c r="I4" s="9">
        <f>I3*2/100+I3</f>
        <v>2105.8399810228966</v>
      </c>
      <c r="J4" s="3" t="s">
        <v>27</v>
      </c>
      <c r="K4" s="9">
        <f>K3*1/100+K3</f>
        <v>2169.436348449788</v>
      </c>
      <c r="L4" s="4" t="s">
        <v>28</v>
      </c>
      <c r="M4" s="9">
        <f>M3*1/100+M3</f>
        <v>2234.9533261729716</v>
      </c>
      <c r="N4" s="3" t="s">
        <v>29</v>
      </c>
      <c r="O4" s="9">
        <f>O3*1/100+O3</f>
        <v>2302.4489166233952</v>
      </c>
    </row>
    <row r="5" spans="1:15" ht="15.75" thickBot="1">
      <c r="A5" s="1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5.75" thickBot="1">
      <c r="A6" s="115"/>
      <c r="B6" s="94" t="s">
        <v>7</v>
      </c>
      <c r="C6" s="93"/>
      <c r="D6" s="77"/>
      <c r="E6" s="78" t="s">
        <v>8</v>
      </c>
      <c r="F6" s="80"/>
      <c r="G6" s="83" t="s">
        <v>9</v>
      </c>
      <c r="H6" s="77"/>
      <c r="I6" s="78" t="s">
        <v>10</v>
      </c>
      <c r="J6" s="77"/>
      <c r="K6" s="78" t="s">
        <v>11</v>
      </c>
      <c r="L6" s="103"/>
      <c r="M6" s="104"/>
      <c r="N6" s="103"/>
      <c r="O6" s="104"/>
    </row>
    <row r="7" spans="1:15" ht="15">
      <c r="A7" s="115"/>
      <c r="B7" s="2" t="s">
        <v>21</v>
      </c>
      <c r="C7" s="8">
        <f>O4*2/100+O4</f>
        <v>2348.497894955863</v>
      </c>
      <c r="D7" s="1" t="s">
        <v>22</v>
      </c>
      <c r="E7" s="14">
        <f>C8*2/100+C8</f>
        <v>2419.4225313835304</v>
      </c>
      <c r="F7" s="2" t="s">
        <v>23</v>
      </c>
      <c r="G7" s="8">
        <f>E8*2/100+E8</f>
        <v>2492.489091831313</v>
      </c>
      <c r="H7" s="1" t="s">
        <v>24</v>
      </c>
      <c r="I7" s="8">
        <f>G8*2/100+G8</f>
        <v>2567.7622624046185</v>
      </c>
      <c r="J7" s="1" t="s">
        <v>26</v>
      </c>
      <c r="K7" s="8">
        <f>I8*2/100+I8</f>
        <v>2645.308682729238</v>
      </c>
      <c r="L7" s="10"/>
      <c r="M7" s="8"/>
      <c r="N7" s="10"/>
      <c r="O7" s="8"/>
    </row>
    <row r="8" spans="1:15" ht="15.75" thickBot="1">
      <c r="A8" s="116"/>
      <c r="B8" s="4" t="s">
        <v>30</v>
      </c>
      <c r="C8" s="9">
        <f>C7*1/100+C7</f>
        <v>2371.982873905422</v>
      </c>
      <c r="D8" s="3" t="s">
        <v>31</v>
      </c>
      <c r="E8" s="9">
        <f>E7*1/100+E7</f>
        <v>2443.616756697366</v>
      </c>
      <c r="F8" s="4" t="s">
        <v>32</v>
      </c>
      <c r="G8" s="9">
        <f>G7*1/100+G7</f>
        <v>2517.413982749626</v>
      </c>
      <c r="H8" s="3" t="s">
        <v>33</v>
      </c>
      <c r="I8" s="9">
        <f>I7*1/100+I7</f>
        <v>2593.439885028665</v>
      </c>
      <c r="J8" s="3" t="s">
        <v>34</v>
      </c>
      <c r="K8" s="9">
        <f>K7*1/100+K7</f>
        <v>2671.7617695565305</v>
      </c>
      <c r="L8" s="11"/>
      <c r="M8" s="9"/>
      <c r="N8" s="11"/>
      <c r="O8" s="9"/>
    </row>
    <row r="9" spans="1:15" ht="15.75" thickBot="1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>
      <c r="A10" s="85" t="s">
        <v>41</v>
      </c>
      <c r="B10" s="105" t="s">
        <v>0</v>
      </c>
      <c r="C10" s="106"/>
      <c r="D10" s="82"/>
      <c r="E10" s="82" t="s">
        <v>1</v>
      </c>
      <c r="F10" s="107" t="s">
        <v>2</v>
      </c>
      <c r="G10" s="108"/>
      <c r="H10" s="109" t="s">
        <v>3</v>
      </c>
      <c r="I10" s="110"/>
      <c r="J10" s="107" t="s">
        <v>4</v>
      </c>
      <c r="K10" s="108"/>
      <c r="L10" s="109" t="s">
        <v>5</v>
      </c>
      <c r="M10" s="110"/>
      <c r="N10" s="107" t="s">
        <v>6</v>
      </c>
      <c r="O10" s="108"/>
    </row>
    <row r="11" spans="1:15" ht="15">
      <c r="A11" s="114" t="s">
        <v>35</v>
      </c>
      <c r="B11" s="99">
        <f>2517.12*1.03</f>
        <v>2592.6336</v>
      </c>
      <c r="C11" s="100"/>
      <c r="D11" s="20" t="str">
        <f>D3</f>
        <v>B10</v>
      </c>
      <c r="E11" s="8">
        <f>B11*10/100+B11</f>
        <v>2851.89696</v>
      </c>
      <c r="F11" s="1" t="str">
        <f>F3</f>
        <v>C10</v>
      </c>
      <c r="G11" s="14">
        <f>E12*10/100+E12</f>
        <v>3199.82838912</v>
      </c>
      <c r="H11" s="2" t="str">
        <f>H3</f>
        <v>D10</v>
      </c>
      <c r="I11" s="8">
        <f>G12*10/100+G12</f>
        <v>3590.2074525926396</v>
      </c>
      <c r="J11" s="1" t="str">
        <f>J3</f>
        <v>E2</v>
      </c>
      <c r="K11" s="14">
        <f>I12*2/100+I12</f>
        <v>3735.251833677382</v>
      </c>
      <c r="L11" s="2" t="str">
        <f>L3</f>
        <v>F2</v>
      </c>
      <c r="M11" s="8">
        <f>K12*2/100+K12</f>
        <v>3848.0564390544387</v>
      </c>
      <c r="N11" s="1" t="str">
        <f>N3</f>
        <v>G2</v>
      </c>
      <c r="O11" s="8">
        <f>M12*2/100+M12</f>
        <v>3964.2677435138826</v>
      </c>
    </row>
    <row r="12" spans="1:15" ht="15.75" thickBot="1">
      <c r="A12" s="115"/>
      <c r="B12" s="101"/>
      <c r="C12" s="102"/>
      <c r="D12" s="79" t="str">
        <f>D4</f>
        <v>B2</v>
      </c>
      <c r="E12" s="8">
        <f>E11*2/100+E11</f>
        <v>2908.9348992</v>
      </c>
      <c r="F12" s="3" t="str">
        <f>F4</f>
        <v>C2</v>
      </c>
      <c r="G12" s="9">
        <f>G11*2/100+G11</f>
        <v>3263.8249569023997</v>
      </c>
      <c r="H12" s="4" t="str">
        <f>H4</f>
        <v>D2</v>
      </c>
      <c r="I12" s="9">
        <f>I11*2/100+I11</f>
        <v>3662.011601644492</v>
      </c>
      <c r="J12" s="3" t="str">
        <f>J4</f>
        <v>E1</v>
      </c>
      <c r="K12" s="9">
        <f>K11*1/100+K11</f>
        <v>3772.6043520141557</v>
      </c>
      <c r="L12" s="4" t="str">
        <f>L4</f>
        <v>F1</v>
      </c>
      <c r="M12" s="9">
        <f>M11*1/100+M11</f>
        <v>3886.537003444983</v>
      </c>
      <c r="N12" s="3" t="str">
        <f>N4</f>
        <v>G1</v>
      </c>
      <c r="O12" s="9">
        <f>O11*1/100+O11</f>
        <v>4003.9104209490215</v>
      </c>
    </row>
    <row r="13" spans="1:15" ht="15.75" thickBot="1">
      <c r="A13" s="1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ht="15.75" thickBot="1">
      <c r="A14" s="115"/>
      <c r="B14" s="94" t="s">
        <v>7</v>
      </c>
      <c r="C14" s="93"/>
      <c r="D14" s="77"/>
      <c r="E14" s="78" t="s">
        <v>8</v>
      </c>
      <c r="F14" s="80"/>
      <c r="G14" s="83" t="s">
        <v>9</v>
      </c>
      <c r="H14" s="77"/>
      <c r="I14" s="78" t="s">
        <v>10</v>
      </c>
      <c r="J14" s="77"/>
      <c r="K14" s="78" t="s">
        <v>11</v>
      </c>
      <c r="L14" s="107"/>
      <c r="M14" s="108"/>
      <c r="N14" s="109"/>
      <c r="O14" s="108"/>
    </row>
    <row r="15" spans="1:15" ht="15">
      <c r="A15" s="115"/>
      <c r="B15" s="2" t="str">
        <f>B7</f>
        <v>H2</v>
      </c>
      <c r="C15" s="8">
        <f>O12*2/100+O12</f>
        <v>4083.988629368002</v>
      </c>
      <c r="D15" s="2" t="str">
        <f>D7</f>
        <v>I2</v>
      </c>
      <c r="E15" s="41">
        <f>C16*2/100+C16</f>
        <v>4207.325085974916</v>
      </c>
      <c r="F15" s="1" t="str">
        <f>F7</f>
        <v>J2</v>
      </c>
      <c r="G15" s="8">
        <f>E16*2/100+E16</f>
        <v>4334.386303571358</v>
      </c>
      <c r="H15" s="1" t="str">
        <f>H7</f>
        <v>K2</v>
      </c>
      <c r="I15" s="8">
        <f>G16*2/100+G16</f>
        <v>4465.284769939213</v>
      </c>
      <c r="J15" s="2" t="str">
        <f>J7</f>
        <v>L2</v>
      </c>
      <c r="K15" s="8">
        <f>I16*2/100+I16</f>
        <v>4600.136369991377</v>
      </c>
      <c r="L15" s="1"/>
      <c r="M15" s="8"/>
      <c r="N15" s="2"/>
      <c r="O15" s="8"/>
    </row>
    <row r="16" spans="1:15" ht="15.75" thickBot="1">
      <c r="A16" s="116"/>
      <c r="B16" s="4" t="str">
        <f>B8</f>
        <v>H1</v>
      </c>
      <c r="C16" s="9">
        <f>C15*1/100+C15</f>
        <v>4124.828515661682</v>
      </c>
      <c r="D16" s="4" t="str">
        <f>D8</f>
        <v>I1</v>
      </c>
      <c r="E16" s="42">
        <f>E15*1/100+E15</f>
        <v>4249.398336834665</v>
      </c>
      <c r="F16" s="3" t="str">
        <f>F8</f>
        <v>J1</v>
      </c>
      <c r="G16" s="9">
        <f>G15*1/100+G15</f>
        <v>4377.730166607072</v>
      </c>
      <c r="H16" s="3" t="str">
        <f>H8</f>
        <v>K1</v>
      </c>
      <c r="I16" s="9">
        <f>I15*1/100+I15</f>
        <v>4509.937617638605</v>
      </c>
      <c r="J16" s="4" t="str">
        <f>J8</f>
        <v>L1</v>
      </c>
      <c r="K16" s="9">
        <f>K15*1/100+K15</f>
        <v>4646.137733691291</v>
      </c>
      <c r="L16" s="3"/>
      <c r="M16" s="9"/>
      <c r="N16" s="4"/>
      <c r="O16" s="9"/>
    </row>
    <row r="17" spans="1:15" ht="15.75" thickBot="1">
      <c r="A17" s="2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>
      <c r="A18" s="85" t="s">
        <v>42</v>
      </c>
      <c r="B18" s="105" t="s">
        <v>0</v>
      </c>
      <c r="C18" s="106"/>
      <c r="D18" s="82"/>
      <c r="E18" s="82" t="s">
        <v>1</v>
      </c>
      <c r="F18" s="107" t="s">
        <v>2</v>
      </c>
      <c r="G18" s="108"/>
      <c r="H18" s="109" t="s">
        <v>3</v>
      </c>
      <c r="I18" s="110"/>
      <c r="J18" s="107" t="s">
        <v>4</v>
      </c>
      <c r="K18" s="108"/>
      <c r="L18" s="109" t="s">
        <v>5</v>
      </c>
      <c r="M18" s="110"/>
      <c r="N18" s="107" t="s">
        <v>6</v>
      </c>
      <c r="O18" s="108"/>
    </row>
    <row r="19" spans="1:15" ht="15">
      <c r="A19" s="114" t="s">
        <v>37</v>
      </c>
      <c r="B19" s="99">
        <f>2517.12*1.03</f>
        <v>2592.6336</v>
      </c>
      <c r="C19" s="100"/>
      <c r="D19" s="1" t="str">
        <f>D3</f>
        <v>B10</v>
      </c>
      <c r="E19" s="8">
        <f>B19*10/100+B19</f>
        <v>2851.89696</v>
      </c>
      <c r="F19" s="2" t="str">
        <f>F3</f>
        <v>C10</v>
      </c>
      <c r="G19" s="41">
        <f>E20*10/100+E20</f>
        <v>3199.82838912</v>
      </c>
      <c r="H19" s="1" t="str">
        <f>H3</f>
        <v>D10</v>
      </c>
      <c r="I19" s="8">
        <f>G20*10/100+G20</f>
        <v>3590.2074525926396</v>
      </c>
      <c r="J19" s="2" t="str">
        <f>J3</f>
        <v>E2</v>
      </c>
      <c r="K19" s="41">
        <f>I20*2/100+I20</f>
        <v>3735.251833677382</v>
      </c>
      <c r="L19" s="1" t="str">
        <f>L3</f>
        <v>F2</v>
      </c>
      <c r="M19" s="8">
        <f>K20*2/100+K20</f>
        <v>3848.0564390544387</v>
      </c>
      <c r="N19" s="1" t="str">
        <f>N3</f>
        <v>G2</v>
      </c>
      <c r="O19" s="8">
        <f>M20*2/100+M20</f>
        <v>3964.2677435138826</v>
      </c>
    </row>
    <row r="20" spans="1:15" ht="15.75" thickBot="1">
      <c r="A20" s="115"/>
      <c r="B20" s="101"/>
      <c r="C20" s="102"/>
      <c r="D20" s="3" t="str">
        <f>D4</f>
        <v>B2</v>
      </c>
      <c r="E20" s="9">
        <f>E19*2/100+E19</f>
        <v>2908.9348992</v>
      </c>
      <c r="F20" s="4" t="str">
        <f>F4</f>
        <v>C2</v>
      </c>
      <c r="G20" s="42">
        <f>G19*2/100+G19</f>
        <v>3263.8249569023997</v>
      </c>
      <c r="H20" s="3" t="str">
        <f>H4</f>
        <v>D2</v>
      </c>
      <c r="I20" s="9">
        <f>I19*2/100+I19</f>
        <v>3662.011601644492</v>
      </c>
      <c r="J20" s="4" t="str">
        <f>J4</f>
        <v>E1</v>
      </c>
      <c r="K20" s="42">
        <f>K19*1/100+K19</f>
        <v>3772.6043520141557</v>
      </c>
      <c r="L20" s="3" t="str">
        <f>L4</f>
        <v>F1</v>
      </c>
      <c r="M20" s="9">
        <f>M19*1/100+M19</f>
        <v>3886.537003444983</v>
      </c>
      <c r="N20" s="3" t="str">
        <f>N4</f>
        <v>G1</v>
      </c>
      <c r="O20" s="9">
        <f>O19*1/100+O19</f>
        <v>4003.9104209490215</v>
      </c>
    </row>
    <row r="21" spans="1:15" ht="15.75" thickBot="1">
      <c r="A21" s="1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ht="15.75" thickBot="1">
      <c r="A22" s="115"/>
      <c r="B22" s="94" t="s">
        <v>7</v>
      </c>
      <c r="C22" s="93"/>
      <c r="D22" s="77"/>
      <c r="E22" s="78" t="s">
        <v>8</v>
      </c>
      <c r="F22" s="80"/>
      <c r="G22" s="83" t="s">
        <v>9</v>
      </c>
      <c r="H22" s="77"/>
      <c r="I22" s="78" t="s">
        <v>10</v>
      </c>
      <c r="J22" s="77"/>
      <c r="K22" s="78" t="s">
        <v>11</v>
      </c>
      <c r="L22" s="107"/>
      <c r="M22" s="108"/>
      <c r="N22" s="109"/>
      <c r="O22" s="108"/>
    </row>
    <row r="23" spans="1:15" ht="15">
      <c r="A23" s="115"/>
      <c r="B23" s="2" t="str">
        <f>B7</f>
        <v>H2</v>
      </c>
      <c r="C23" s="8">
        <f>O20*2/100+O20</f>
        <v>4083.988629368002</v>
      </c>
      <c r="D23" s="2" t="str">
        <f>D7</f>
        <v>I2</v>
      </c>
      <c r="E23" s="41">
        <f>C24*2/100+C24</f>
        <v>4207.325085974916</v>
      </c>
      <c r="F23" s="1" t="str">
        <f>F7</f>
        <v>J2</v>
      </c>
      <c r="G23" s="8">
        <f>E24*2/100+E24</f>
        <v>4334.386303571358</v>
      </c>
      <c r="H23" s="1" t="str">
        <f>H7</f>
        <v>K2</v>
      </c>
      <c r="I23" s="8">
        <f>G24*2/100+G24</f>
        <v>4465.284769939213</v>
      </c>
      <c r="J23" s="2" t="str">
        <f>J7</f>
        <v>L2</v>
      </c>
      <c r="K23" s="8">
        <f>I24*2/100+I24</f>
        <v>4600.136369991377</v>
      </c>
      <c r="L23" s="1"/>
      <c r="M23" s="8"/>
      <c r="N23" s="2"/>
      <c r="O23" s="8"/>
    </row>
    <row r="24" spans="1:15" ht="15.75" thickBot="1">
      <c r="A24" s="116"/>
      <c r="B24" s="4" t="str">
        <f>B8</f>
        <v>H1</v>
      </c>
      <c r="C24" s="9">
        <f>C23*1/100+C23</f>
        <v>4124.828515661682</v>
      </c>
      <c r="D24" s="4" t="str">
        <f>D8</f>
        <v>I1</v>
      </c>
      <c r="E24" s="42">
        <f>E23*1/100+E23</f>
        <v>4249.398336834665</v>
      </c>
      <c r="F24" s="3" t="str">
        <f>F8</f>
        <v>J1</v>
      </c>
      <c r="G24" s="9">
        <f>G23*1/100+G23</f>
        <v>4377.730166607072</v>
      </c>
      <c r="H24" s="3" t="str">
        <f>H8</f>
        <v>K1</v>
      </c>
      <c r="I24" s="9">
        <f>I23*1/100+I23</f>
        <v>4509.937617638605</v>
      </c>
      <c r="J24" s="4" t="str">
        <f>J8</f>
        <v>L1</v>
      </c>
      <c r="K24" s="9">
        <f>K23*1/100+K23</f>
        <v>4646.137733691291</v>
      </c>
      <c r="L24" s="3"/>
      <c r="M24" s="9"/>
      <c r="N24" s="4"/>
      <c r="O24" s="9"/>
    </row>
    <row r="25" spans="1:15" ht="15.75" thickBo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 thickBot="1">
      <c r="A26" s="86" t="s">
        <v>42</v>
      </c>
      <c r="B26" s="105" t="s">
        <v>0</v>
      </c>
      <c r="C26" s="106"/>
      <c r="D26" s="82"/>
      <c r="E26" s="82" t="s">
        <v>1</v>
      </c>
      <c r="F26" s="107" t="s">
        <v>2</v>
      </c>
      <c r="G26" s="108"/>
      <c r="H26" s="109" t="s">
        <v>3</v>
      </c>
      <c r="I26" s="110"/>
      <c r="J26" s="107" t="s">
        <v>4</v>
      </c>
      <c r="K26" s="108"/>
      <c r="L26" s="109" t="s">
        <v>5</v>
      </c>
      <c r="M26" s="110"/>
      <c r="N26" s="107" t="s">
        <v>6</v>
      </c>
      <c r="O26" s="108"/>
    </row>
    <row r="27" spans="1:15" ht="15">
      <c r="A27" s="114" t="s">
        <v>39</v>
      </c>
      <c r="B27" s="99">
        <f>1294.13*1.03</f>
        <v>1332.9539000000002</v>
      </c>
      <c r="C27" s="100"/>
      <c r="D27" s="1" t="str">
        <f>D19</f>
        <v>B10</v>
      </c>
      <c r="E27" s="8">
        <f>B27*10/100+B27</f>
        <v>1466.2492900000002</v>
      </c>
      <c r="F27" s="2" t="str">
        <f>F19</f>
        <v>C10</v>
      </c>
      <c r="G27" s="41">
        <f>E28*10/100+E28</f>
        <v>1645.13170338</v>
      </c>
      <c r="H27" s="1" t="str">
        <f>H19</f>
        <v>D10</v>
      </c>
      <c r="I27" s="8">
        <f>G28*10/100+G28</f>
        <v>1845.8377711923602</v>
      </c>
      <c r="J27" s="2" t="str">
        <f>J19</f>
        <v>E2</v>
      </c>
      <c r="K27" s="41">
        <f>I28*2/100+I28</f>
        <v>1920.4096171485314</v>
      </c>
      <c r="L27" s="1" t="str">
        <f>L19</f>
        <v>F2</v>
      </c>
      <c r="M27" s="8">
        <f>K28*2/100+K28</f>
        <v>1978.405987586417</v>
      </c>
      <c r="N27" s="1" t="str">
        <f>N19</f>
        <v>G2</v>
      </c>
      <c r="O27" s="8">
        <f>M28*2/100+M28</f>
        <v>2038.1538484115267</v>
      </c>
    </row>
    <row r="28" spans="1:15" ht="15.75" thickBot="1">
      <c r="A28" s="115"/>
      <c r="B28" s="101"/>
      <c r="C28" s="102"/>
      <c r="D28" s="3" t="str">
        <f>D20</f>
        <v>B2</v>
      </c>
      <c r="E28" s="9">
        <f>E27*2/100+E27</f>
        <v>1495.5742758000001</v>
      </c>
      <c r="F28" s="4" t="str">
        <f>F20</f>
        <v>C2</v>
      </c>
      <c r="G28" s="42">
        <f>G27*2/100+G27</f>
        <v>1678.0343374476001</v>
      </c>
      <c r="H28" s="3" t="str">
        <f>H20</f>
        <v>D2</v>
      </c>
      <c r="I28" s="9">
        <f>I27*2/100+I27</f>
        <v>1882.7545266162074</v>
      </c>
      <c r="J28" s="4" t="str">
        <f>J20</f>
        <v>E1</v>
      </c>
      <c r="K28" s="42">
        <f>K27*1/100+K27</f>
        <v>1939.6137133200168</v>
      </c>
      <c r="L28" s="3" t="str">
        <f>L20</f>
        <v>F1</v>
      </c>
      <c r="M28" s="9">
        <f>M27*1/100+M27</f>
        <v>1998.1900474622812</v>
      </c>
      <c r="N28" s="3" t="str">
        <f>N20</f>
        <v>G1</v>
      </c>
      <c r="O28" s="9">
        <f>O27*1/100+O27</f>
        <v>2058.535386895642</v>
      </c>
    </row>
    <row r="29" spans="1:15" ht="15.75" thickBot="1">
      <c r="A29" s="1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ht="15.75" thickBot="1">
      <c r="A30" s="115"/>
      <c r="B30" s="94" t="s">
        <v>7</v>
      </c>
      <c r="C30" s="93"/>
      <c r="D30" s="77"/>
      <c r="E30" s="78" t="s">
        <v>8</v>
      </c>
      <c r="F30" s="80"/>
      <c r="G30" s="83" t="s">
        <v>9</v>
      </c>
      <c r="H30" s="77"/>
      <c r="I30" s="78" t="s">
        <v>10</v>
      </c>
      <c r="J30" s="77"/>
      <c r="K30" s="78" t="s">
        <v>11</v>
      </c>
      <c r="L30" s="107"/>
      <c r="M30" s="108"/>
      <c r="N30" s="109"/>
      <c r="O30" s="108"/>
    </row>
    <row r="31" spans="1:15" ht="15">
      <c r="A31" s="115"/>
      <c r="B31" s="2" t="str">
        <f>B23</f>
        <v>H2</v>
      </c>
      <c r="C31" s="8">
        <f>O28*2/100+O28</f>
        <v>2099.706094633555</v>
      </c>
      <c r="D31" s="2" t="str">
        <f>D23</f>
        <v>I2</v>
      </c>
      <c r="E31" s="41">
        <f>C32*2/100+C32</f>
        <v>2163.1172186914887</v>
      </c>
      <c r="F31" s="1" t="str">
        <f>F23</f>
        <v>J2</v>
      </c>
      <c r="G31" s="8">
        <f>E32*2/100+E32</f>
        <v>2228.4433586959713</v>
      </c>
      <c r="H31" s="1" t="str">
        <f>H23</f>
        <v>K2</v>
      </c>
      <c r="I31" s="8">
        <f>G32*2/100+G32</f>
        <v>2295.7423481285896</v>
      </c>
      <c r="J31" s="2" t="str">
        <f>J23</f>
        <v>L2</v>
      </c>
      <c r="K31" s="8">
        <f>I32*2/100+I32</f>
        <v>2365.073767042073</v>
      </c>
      <c r="L31" s="1"/>
      <c r="M31" s="8"/>
      <c r="N31" s="2"/>
      <c r="O31" s="8"/>
    </row>
    <row r="32" spans="1:15" ht="15.75" thickBot="1">
      <c r="A32" s="116"/>
      <c r="B32" s="4" t="str">
        <f>B24</f>
        <v>H1</v>
      </c>
      <c r="C32" s="9">
        <f>C31*1/100+C31</f>
        <v>2120.703155579891</v>
      </c>
      <c r="D32" s="4" t="str">
        <f>D24</f>
        <v>I1</v>
      </c>
      <c r="E32" s="42">
        <f>E31*1/100+E31</f>
        <v>2184.7483908784034</v>
      </c>
      <c r="F32" s="3" t="str">
        <f>F24</f>
        <v>J1</v>
      </c>
      <c r="G32" s="9">
        <f>G31*1/100+G31</f>
        <v>2250.7277922829307</v>
      </c>
      <c r="H32" s="3" t="str">
        <f>H24</f>
        <v>K1</v>
      </c>
      <c r="I32" s="9">
        <f>I31*1/100+I31</f>
        <v>2318.6997716098754</v>
      </c>
      <c r="J32" s="4" t="str">
        <f>J24</f>
        <v>L1</v>
      </c>
      <c r="K32" s="9">
        <f>K31*1/100+K31</f>
        <v>2388.724504712494</v>
      </c>
      <c r="L32" s="3"/>
      <c r="M32" s="9"/>
      <c r="N32" s="4"/>
      <c r="O32" s="9"/>
    </row>
    <row r="33" spans="1:15" ht="15.75" thickBot="1">
      <c r="A33" s="21"/>
      <c r="B33" s="12"/>
      <c r="C33" s="13"/>
      <c r="D33" s="13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</row>
    <row r="34" spans="1:15" ht="15.75" thickBot="1">
      <c r="A34" s="86" t="s">
        <v>43</v>
      </c>
      <c r="B34" s="105" t="s">
        <v>0</v>
      </c>
      <c r="C34" s="106"/>
      <c r="D34" s="81"/>
      <c r="E34" s="82" t="s">
        <v>1</v>
      </c>
      <c r="F34" s="107" t="s">
        <v>2</v>
      </c>
      <c r="G34" s="108"/>
      <c r="H34" s="109" t="s">
        <v>3</v>
      </c>
      <c r="I34" s="110"/>
      <c r="J34" s="107" t="s">
        <v>4</v>
      </c>
      <c r="K34" s="108"/>
      <c r="L34" s="109" t="s">
        <v>5</v>
      </c>
      <c r="M34" s="110"/>
      <c r="N34" s="107" t="s">
        <v>6</v>
      </c>
      <c r="O34" s="108"/>
    </row>
    <row r="35" spans="1:15" ht="15">
      <c r="A35" s="114" t="s">
        <v>38</v>
      </c>
      <c r="B35" s="99">
        <f>2951.59*1.03</f>
        <v>3040.1377</v>
      </c>
      <c r="C35" s="111"/>
      <c r="D35" s="22" t="str">
        <f>D27</f>
        <v>B10</v>
      </c>
      <c r="E35" s="8">
        <f>B35*10/100+B35</f>
        <v>3344.1514700000002</v>
      </c>
      <c r="F35" s="2" t="str">
        <f>F27</f>
        <v>C10</v>
      </c>
      <c r="G35" s="41">
        <f>E36*10/100+E36</f>
        <v>3752.13794934</v>
      </c>
      <c r="H35" s="1" t="str">
        <f>H27</f>
        <v>D10</v>
      </c>
      <c r="I35" s="8">
        <f>G36*10/100+G36</f>
        <v>4209.89877915948</v>
      </c>
      <c r="J35" s="2" t="str">
        <f>J27</f>
        <v>E2</v>
      </c>
      <c r="K35" s="41">
        <f>I36*2/100+I36</f>
        <v>4379.978689837523</v>
      </c>
      <c r="L35" s="1" t="str">
        <f>L27</f>
        <v>F2</v>
      </c>
      <c r="M35" s="8">
        <f>K36*2/100+K36</f>
        <v>4512.254046270616</v>
      </c>
      <c r="N35" s="1" t="str">
        <f>N27</f>
        <v>G2</v>
      </c>
      <c r="O35" s="8">
        <f>M36*2/100+M36</f>
        <v>4648.524118467988</v>
      </c>
    </row>
    <row r="36" spans="1:15" ht="15.75" thickBot="1">
      <c r="A36" s="115"/>
      <c r="B36" s="101"/>
      <c r="C36" s="102"/>
      <c r="D36" s="79" t="str">
        <f>D28</f>
        <v>B2</v>
      </c>
      <c r="E36" s="9">
        <f>E35*2/100+E35</f>
        <v>3411.0344994</v>
      </c>
      <c r="F36" s="4" t="str">
        <f>F28</f>
        <v>C2</v>
      </c>
      <c r="G36" s="42">
        <f>G35*2/100+G35</f>
        <v>3827.1807083268</v>
      </c>
      <c r="H36" s="3" t="str">
        <f>H28</f>
        <v>D2</v>
      </c>
      <c r="I36" s="9">
        <f>I35*2/100+I35</f>
        <v>4294.09675474267</v>
      </c>
      <c r="J36" s="4" t="str">
        <f>J28</f>
        <v>E1</v>
      </c>
      <c r="K36" s="42">
        <f>K35*1/100+K35</f>
        <v>4423.778476735898</v>
      </c>
      <c r="L36" s="3" t="str">
        <f>L28</f>
        <v>F1</v>
      </c>
      <c r="M36" s="9">
        <f>M35*1/100+M35</f>
        <v>4557.376586733321</v>
      </c>
      <c r="N36" s="3" t="str">
        <f>N28</f>
        <v>G1</v>
      </c>
      <c r="O36" s="9">
        <f>O35*1/100+O35</f>
        <v>4695.009359652668</v>
      </c>
    </row>
    <row r="37" spans="1:15" ht="15.75" thickBot="1">
      <c r="A37" s="1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.75" thickBot="1">
      <c r="A38" s="115"/>
      <c r="B38" s="94" t="s">
        <v>7</v>
      </c>
      <c r="C38" s="93"/>
      <c r="D38" s="77"/>
      <c r="E38" s="78" t="s">
        <v>8</v>
      </c>
      <c r="F38" s="80"/>
      <c r="G38" s="83" t="s">
        <v>9</v>
      </c>
      <c r="H38" s="77"/>
      <c r="I38" s="78" t="s">
        <v>10</v>
      </c>
      <c r="J38" s="77"/>
      <c r="K38" s="78" t="s">
        <v>11</v>
      </c>
      <c r="L38" s="107"/>
      <c r="M38" s="108"/>
      <c r="N38" s="109"/>
      <c r="O38" s="108"/>
    </row>
    <row r="39" spans="1:15" ht="15">
      <c r="A39" s="115"/>
      <c r="B39" s="2" t="str">
        <f>B31</f>
        <v>H2</v>
      </c>
      <c r="C39" s="8">
        <f>O36*2/100+O36</f>
        <v>4788.909546845721</v>
      </c>
      <c r="D39" s="2" t="str">
        <f>D31</f>
        <v>I2</v>
      </c>
      <c r="E39" s="41">
        <f>C40*2/100+C40</f>
        <v>4933.534615160462</v>
      </c>
      <c r="F39" s="1" t="str">
        <f>F31</f>
        <v>J2</v>
      </c>
      <c r="G39" s="8">
        <f>E40*2/100+E40</f>
        <v>5082.527360538307</v>
      </c>
      <c r="H39" s="1" t="str">
        <f>H31</f>
        <v>K2</v>
      </c>
      <c r="I39" s="8">
        <f>G40*2/100+G40</f>
        <v>5236.019686826564</v>
      </c>
      <c r="J39" s="2" t="str">
        <f>J31</f>
        <v>L2</v>
      </c>
      <c r="K39" s="8">
        <f>I40*2/100+I40</f>
        <v>5394.147481368726</v>
      </c>
      <c r="L39" s="1"/>
      <c r="M39" s="8"/>
      <c r="N39" s="2"/>
      <c r="O39" s="8"/>
    </row>
    <row r="40" spans="1:15" ht="15.75" thickBot="1">
      <c r="A40" s="116"/>
      <c r="B40" s="4" t="str">
        <f>B32</f>
        <v>H1</v>
      </c>
      <c r="C40" s="9">
        <f>C39*1/100+C39</f>
        <v>4836.798642314178</v>
      </c>
      <c r="D40" s="4" t="str">
        <f>D32</f>
        <v>I1</v>
      </c>
      <c r="E40" s="42">
        <f>E39*1/100+E39</f>
        <v>4982.869961312066</v>
      </c>
      <c r="F40" s="3" t="str">
        <f>F32</f>
        <v>J1</v>
      </c>
      <c r="G40" s="9">
        <f>G39*1/100+G39</f>
        <v>5133.35263414369</v>
      </c>
      <c r="H40" s="3" t="str">
        <f>H32</f>
        <v>K1</v>
      </c>
      <c r="I40" s="9">
        <f>I39*1/100+I39</f>
        <v>5288.37988369483</v>
      </c>
      <c r="J40" s="4" t="str">
        <f>J32</f>
        <v>L1</v>
      </c>
      <c r="K40" s="9">
        <f>K39*1/100+K39</f>
        <v>5448.088956182413</v>
      </c>
      <c r="L40" s="3"/>
      <c r="M40" s="9"/>
      <c r="N40" s="4"/>
      <c r="O40" s="9"/>
    </row>
    <row r="41" spans="1:15" ht="15.75" thickBot="1">
      <c r="A41" s="21"/>
      <c r="B41" s="12"/>
      <c r="C41" s="13"/>
      <c r="D41" s="13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</row>
    <row r="42" spans="1:15" ht="15.75" thickBot="1">
      <c r="A42" s="86" t="s">
        <v>44</v>
      </c>
      <c r="B42" s="105" t="s">
        <v>0</v>
      </c>
      <c r="C42" s="106"/>
      <c r="D42" s="82"/>
      <c r="E42" s="82" t="s">
        <v>1</v>
      </c>
      <c r="F42" s="107" t="s">
        <v>2</v>
      </c>
      <c r="G42" s="108"/>
      <c r="H42" s="109" t="s">
        <v>3</v>
      </c>
      <c r="I42" s="110"/>
      <c r="J42" s="107" t="s">
        <v>4</v>
      </c>
      <c r="K42" s="108"/>
      <c r="L42" s="109" t="s">
        <v>5</v>
      </c>
      <c r="M42" s="110"/>
      <c r="N42" s="107" t="s">
        <v>6</v>
      </c>
      <c r="O42" s="108"/>
    </row>
    <row r="43" spans="1:15" ht="15">
      <c r="A43" s="114" t="s">
        <v>18</v>
      </c>
      <c r="B43" s="99">
        <f>4466.56*1.03</f>
        <v>4600.5568</v>
      </c>
      <c r="C43" s="100"/>
      <c r="D43" s="20" t="str">
        <f>D35</f>
        <v>B10</v>
      </c>
      <c r="E43" s="8">
        <f>4913.21*1.03</f>
        <v>5060.6063</v>
      </c>
      <c r="F43" s="2" t="str">
        <f>F35</f>
        <v>C10</v>
      </c>
      <c r="G43" s="41">
        <f>E44*10/100+E44</f>
        <v>5678.000268600001</v>
      </c>
      <c r="H43" s="1" t="str">
        <f>H35</f>
        <v>D10</v>
      </c>
      <c r="I43" s="8">
        <f>G44*10/100+G44</f>
        <v>6370.716301369201</v>
      </c>
      <c r="J43" s="2" t="str">
        <f>J35</f>
        <v>E2</v>
      </c>
      <c r="K43" s="41">
        <f>I44*2/100+I44</f>
        <v>6628.093239944516</v>
      </c>
      <c r="L43" s="1" t="str">
        <f>L35</f>
        <v>F2</v>
      </c>
      <c r="M43" s="8">
        <f>K44*2/100+K44</f>
        <v>6828.26165579084</v>
      </c>
      <c r="N43" s="1" t="str">
        <f>N35</f>
        <v>G2</v>
      </c>
      <c r="O43" s="8">
        <f>M44*2/100+M44</f>
        <v>7034.475157795723</v>
      </c>
    </row>
    <row r="44" spans="1:15" ht="15.75" thickBot="1">
      <c r="A44" s="115"/>
      <c r="B44" s="101"/>
      <c r="C44" s="102"/>
      <c r="D44" s="79" t="str">
        <f>D36</f>
        <v>B2</v>
      </c>
      <c r="E44" s="9">
        <f>E43*2/100+E43</f>
        <v>5161.818426000001</v>
      </c>
      <c r="F44" s="4" t="str">
        <f>F36</f>
        <v>C2</v>
      </c>
      <c r="G44" s="42">
        <f>G43*2/100+G43</f>
        <v>5791.560273972001</v>
      </c>
      <c r="H44" s="3" t="str">
        <f>H36</f>
        <v>D2</v>
      </c>
      <c r="I44" s="9">
        <f>I43*2/100+I43</f>
        <v>6498.130627396585</v>
      </c>
      <c r="J44" s="4" t="str">
        <f>J36</f>
        <v>E1</v>
      </c>
      <c r="K44" s="42">
        <f>K43*1/100+K43</f>
        <v>6694.374172343962</v>
      </c>
      <c r="L44" s="3" t="str">
        <f>L36</f>
        <v>F1</v>
      </c>
      <c r="M44" s="9">
        <f>M43*1/100+M43</f>
        <v>6896.544272348749</v>
      </c>
      <c r="N44" s="3" t="str">
        <f>N36</f>
        <v>G1</v>
      </c>
      <c r="O44" s="9">
        <f>O43*1/100+O43</f>
        <v>7104.81990937368</v>
      </c>
    </row>
    <row r="45" spans="1:15" ht="15.75" thickBot="1">
      <c r="A45" s="1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.75" thickBot="1">
      <c r="A46" s="115"/>
      <c r="B46" s="94" t="s">
        <v>7</v>
      </c>
      <c r="C46" s="93"/>
      <c r="D46" s="77"/>
      <c r="E46" s="78" t="s">
        <v>8</v>
      </c>
      <c r="F46" s="80"/>
      <c r="G46" s="83" t="s">
        <v>9</v>
      </c>
      <c r="H46" s="77"/>
      <c r="I46" s="78" t="s">
        <v>10</v>
      </c>
      <c r="J46" s="77"/>
      <c r="K46" s="78" t="s">
        <v>11</v>
      </c>
      <c r="L46" s="109"/>
      <c r="M46" s="108"/>
      <c r="N46" s="109"/>
      <c r="O46" s="108"/>
    </row>
    <row r="47" spans="1:15" ht="15">
      <c r="A47" s="115"/>
      <c r="B47" s="2" t="str">
        <f>B39</f>
        <v>H2</v>
      </c>
      <c r="C47" s="8">
        <f>O44*2/100+O44</f>
        <v>7246.916307561154</v>
      </c>
      <c r="D47" s="1" t="str">
        <f>D39</f>
        <v>I2</v>
      </c>
      <c r="E47" s="8">
        <f>C48*2/100+C48</f>
        <v>7465.773180049501</v>
      </c>
      <c r="F47" s="2" t="str">
        <f>F39</f>
        <v>J2</v>
      </c>
      <c r="G47" s="41">
        <f>E48*2/100+E48</f>
        <v>7691.239530086996</v>
      </c>
      <c r="H47" s="1" t="str">
        <f>H39</f>
        <v>K2</v>
      </c>
      <c r="I47" s="8">
        <f>G48*2/100+G48</f>
        <v>7923.514963895624</v>
      </c>
      <c r="J47" s="1" t="str">
        <f>J39</f>
        <v>L2</v>
      </c>
      <c r="K47" s="8">
        <f>I48*2/100+I48</f>
        <v>8162.805115805271</v>
      </c>
      <c r="L47" s="2"/>
      <c r="M47" s="8"/>
      <c r="N47" s="2"/>
      <c r="O47" s="8"/>
    </row>
    <row r="48" spans="1:15" ht="15.75" thickBot="1">
      <c r="A48" s="116"/>
      <c r="B48" s="4" t="str">
        <f>B40</f>
        <v>H1</v>
      </c>
      <c r="C48" s="9">
        <f>C47*1/100+C47</f>
        <v>7319.385470636766</v>
      </c>
      <c r="D48" s="3" t="str">
        <f>D40</f>
        <v>I1</v>
      </c>
      <c r="E48" s="9">
        <f>E47*1/100+E47</f>
        <v>7540.430911849996</v>
      </c>
      <c r="F48" s="4" t="str">
        <f>F40</f>
        <v>J1</v>
      </c>
      <c r="G48" s="42">
        <f>G47*1/100+G47</f>
        <v>7768.151925387866</v>
      </c>
      <c r="H48" s="3" t="str">
        <f>H40</f>
        <v>K1</v>
      </c>
      <c r="I48" s="9">
        <f>I47*1/100+I47</f>
        <v>8002.75011353458</v>
      </c>
      <c r="J48" s="3" t="str">
        <f>J40</f>
        <v>L1</v>
      </c>
      <c r="K48" s="9">
        <f>K47*1/100+K47</f>
        <v>8244.433166963325</v>
      </c>
      <c r="L48" s="4"/>
      <c r="M48" s="9"/>
      <c r="N48" s="4"/>
      <c r="O48" s="9"/>
    </row>
  </sheetData>
  <sheetProtection/>
  <mergeCells count="68">
    <mergeCell ref="N42:O42"/>
    <mergeCell ref="A43:A48"/>
    <mergeCell ref="B43:C44"/>
    <mergeCell ref="B46:C46"/>
    <mergeCell ref="L46:M46"/>
    <mergeCell ref="N46:O46"/>
    <mergeCell ref="A35:A40"/>
    <mergeCell ref="B35:C36"/>
    <mergeCell ref="B38:C38"/>
    <mergeCell ref="L38:M38"/>
    <mergeCell ref="N38:O38"/>
    <mergeCell ref="B42:C42"/>
    <mergeCell ref="F42:G42"/>
    <mergeCell ref="H42:I42"/>
    <mergeCell ref="J42:K42"/>
    <mergeCell ref="L42:M42"/>
    <mergeCell ref="B34:C34"/>
    <mergeCell ref="F34:G34"/>
    <mergeCell ref="H34:I34"/>
    <mergeCell ref="J34:K34"/>
    <mergeCell ref="L34:M34"/>
    <mergeCell ref="N34:O34"/>
    <mergeCell ref="N26:O26"/>
    <mergeCell ref="A27:A32"/>
    <mergeCell ref="B27:C28"/>
    <mergeCell ref="B30:C30"/>
    <mergeCell ref="L30:M30"/>
    <mergeCell ref="N30:O30"/>
    <mergeCell ref="A19:A24"/>
    <mergeCell ref="B19:C20"/>
    <mergeCell ref="B22:C22"/>
    <mergeCell ref="L22:M22"/>
    <mergeCell ref="N22:O22"/>
    <mergeCell ref="B26:C26"/>
    <mergeCell ref="F26:G26"/>
    <mergeCell ref="H26:I26"/>
    <mergeCell ref="J26:K26"/>
    <mergeCell ref="L26:M26"/>
    <mergeCell ref="B18:C18"/>
    <mergeCell ref="F18:G18"/>
    <mergeCell ref="H18:I18"/>
    <mergeCell ref="J18:K18"/>
    <mergeCell ref="L18:M18"/>
    <mergeCell ref="N18:O18"/>
    <mergeCell ref="N10:O10"/>
    <mergeCell ref="A11:A16"/>
    <mergeCell ref="B11:C12"/>
    <mergeCell ref="B14:C14"/>
    <mergeCell ref="L14:M14"/>
    <mergeCell ref="N14:O14"/>
    <mergeCell ref="A3:A8"/>
    <mergeCell ref="B3:C4"/>
    <mergeCell ref="B6:C6"/>
    <mergeCell ref="L6:M6"/>
    <mergeCell ref="N6:O6"/>
    <mergeCell ref="B10:C10"/>
    <mergeCell ref="F10:G10"/>
    <mergeCell ref="H10:I10"/>
    <mergeCell ref="J10:K10"/>
    <mergeCell ref="L10:M10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25">
      <selection activeCell="B37" sqref="B37"/>
    </sheetView>
  </sheetViews>
  <sheetFormatPr defaultColWidth="9.140625" defaultRowHeight="15"/>
  <cols>
    <col min="1" max="1" width="29.8515625" style="0" bestFit="1" customWidth="1"/>
    <col min="3" max="3" width="11.00390625" style="0" bestFit="1" customWidth="1"/>
    <col min="5" max="5" width="12.140625" style="0" bestFit="1" customWidth="1"/>
    <col min="7" max="7" width="11.00390625" style="0" bestFit="1" customWidth="1"/>
    <col min="9" max="9" width="11.00390625" style="0" bestFit="1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</cols>
  <sheetData>
    <row r="1" spans="1:15" ht="15.75" thickBot="1">
      <c r="A1" s="117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ht="15.75" thickBot="1">
      <c r="A2" s="15" t="s">
        <v>40</v>
      </c>
      <c r="B2" s="89" t="s">
        <v>0</v>
      </c>
      <c r="C2" s="90"/>
      <c r="D2" s="91" t="s">
        <v>1</v>
      </c>
      <c r="E2" s="90"/>
      <c r="F2" s="92" t="s">
        <v>2</v>
      </c>
      <c r="G2" s="93"/>
      <c r="H2" s="94" t="s">
        <v>3</v>
      </c>
      <c r="I2" s="95"/>
      <c r="J2" s="92" t="s">
        <v>4</v>
      </c>
      <c r="K2" s="93"/>
      <c r="L2" s="94" t="s">
        <v>5</v>
      </c>
      <c r="M2" s="95"/>
      <c r="N2" s="92" t="s">
        <v>6</v>
      </c>
      <c r="O2" s="93"/>
    </row>
    <row r="3" spans="1:15" ht="15">
      <c r="A3" s="120" t="s">
        <v>36</v>
      </c>
      <c r="B3" s="99">
        <f>1459.32*1.0507</f>
        <v>1533.3075239999998</v>
      </c>
      <c r="C3" s="100"/>
      <c r="D3" s="20" t="s">
        <v>12</v>
      </c>
      <c r="E3" s="6">
        <f>B3*10/100+B3</f>
        <v>1686.6382763999998</v>
      </c>
      <c r="F3" s="1" t="s">
        <v>14</v>
      </c>
      <c r="G3" s="14">
        <f>E4*10/100+E4</f>
        <v>1892.4081461207998</v>
      </c>
      <c r="H3" s="2" t="s">
        <v>16</v>
      </c>
      <c r="I3" s="8">
        <f>G4*10/100+G4</f>
        <v>2123.281939947537</v>
      </c>
      <c r="J3" s="1" t="s">
        <v>25</v>
      </c>
      <c r="K3" s="14">
        <f>I4*2/100+I4</f>
        <v>2209.0625303214174</v>
      </c>
      <c r="L3" s="2" t="s">
        <v>19</v>
      </c>
      <c r="M3" s="8">
        <f>K4*2/100+K4</f>
        <v>2275.776218737124</v>
      </c>
      <c r="N3" s="1" t="s">
        <v>20</v>
      </c>
      <c r="O3" s="8">
        <f>M4*2/100+M4</f>
        <v>2344.504660542985</v>
      </c>
    </row>
    <row r="4" spans="1:15" ht="15.75" thickBot="1">
      <c r="A4" s="121"/>
      <c r="B4" s="101"/>
      <c r="C4" s="102"/>
      <c r="D4" s="25" t="s">
        <v>91</v>
      </c>
      <c r="E4" s="7">
        <f>E3*2/100+E3</f>
        <v>1720.3710419279998</v>
      </c>
      <c r="F4" s="3" t="s">
        <v>92</v>
      </c>
      <c r="G4" s="9">
        <f>G3*2/100+G3</f>
        <v>1930.2563090432157</v>
      </c>
      <c r="H4" s="4" t="s">
        <v>93</v>
      </c>
      <c r="I4" s="9">
        <f>I3*2/100+I3</f>
        <v>2165.7475787464878</v>
      </c>
      <c r="J4" s="3" t="s">
        <v>27</v>
      </c>
      <c r="K4" s="9">
        <f>K3*1/100+K3</f>
        <v>2231.1531556246314</v>
      </c>
      <c r="L4" s="4" t="s">
        <v>28</v>
      </c>
      <c r="M4" s="9">
        <f>M3*1/100+M3</f>
        <v>2298.533980924495</v>
      </c>
      <c r="N4" s="3" t="s">
        <v>29</v>
      </c>
      <c r="O4" s="9">
        <f>O3*1/100+O3</f>
        <v>2367.949707148415</v>
      </c>
    </row>
    <row r="5" spans="1:15" ht="15.75" thickBot="1">
      <c r="A5" s="12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5.75" thickBot="1">
      <c r="A6" s="121"/>
      <c r="B6" s="94" t="s">
        <v>7</v>
      </c>
      <c r="C6" s="93"/>
      <c r="D6" s="23"/>
      <c r="E6" s="24" t="s">
        <v>8</v>
      </c>
      <c r="F6" s="26"/>
      <c r="G6" s="29" t="s">
        <v>9</v>
      </c>
      <c r="H6" s="23"/>
      <c r="I6" s="24" t="s">
        <v>10</v>
      </c>
      <c r="J6" s="23"/>
      <c r="K6" s="24" t="s">
        <v>11</v>
      </c>
      <c r="L6" s="103"/>
      <c r="M6" s="104"/>
      <c r="N6" s="103"/>
      <c r="O6" s="104"/>
    </row>
    <row r="7" spans="1:15" ht="15">
      <c r="A7" s="121"/>
      <c r="B7" s="2" t="s">
        <v>21</v>
      </c>
      <c r="C7" s="8">
        <f>O4*2/100+O4</f>
        <v>2415.3087012913834</v>
      </c>
      <c r="D7" s="1" t="s">
        <v>22</v>
      </c>
      <c r="E7" s="14">
        <f>C8*2/100+C8</f>
        <v>2488.251024070383</v>
      </c>
      <c r="F7" s="2" t="s">
        <v>23</v>
      </c>
      <c r="G7" s="8">
        <f>E8*2/100+E8</f>
        <v>2563.396204997309</v>
      </c>
      <c r="H7" s="1" t="s">
        <v>24</v>
      </c>
      <c r="I7" s="8">
        <f>G8*2/100+G8</f>
        <v>2640.8107703882274</v>
      </c>
      <c r="J7" s="1" t="s">
        <v>26</v>
      </c>
      <c r="K7" s="8">
        <f>I8*2/100+I8</f>
        <v>2720.5632556539517</v>
      </c>
      <c r="L7" s="10"/>
      <c r="M7" s="8"/>
      <c r="N7" s="10"/>
      <c r="O7" s="8"/>
    </row>
    <row r="8" spans="1:15" ht="15.75" thickBot="1">
      <c r="A8" s="122"/>
      <c r="B8" s="4" t="s">
        <v>30</v>
      </c>
      <c r="C8" s="9">
        <f>C7*1/100+C7</f>
        <v>2439.4617883042974</v>
      </c>
      <c r="D8" s="3" t="s">
        <v>31</v>
      </c>
      <c r="E8" s="9">
        <f>E7*1/100+E7</f>
        <v>2513.1335343110873</v>
      </c>
      <c r="F8" s="4" t="s">
        <v>32</v>
      </c>
      <c r="G8" s="9">
        <f>G7*1/100+G7</f>
        <v>2589.030167047282</v>
      </c>
      <c r="H8" s="3" t="s">
        <v>33</v>
      </c>
      <c r="I8" s="9">
        <f>I7*1/100+I7</f>
        <v>2667.2188780921097</v>
      </c>
      <c r="J8" s="3" t="s">
        <v>34</v>
      </c>
      <c r="K8" s="9">
        <f>K7*1/100+K7</f>
        <v>2747.7688882104912</v>
      </c>
      <c r="L8" s="11"/>
      <c r="M8" s="9"/>
      <c r="N8" s="11"/>
      <c r="O8" s="9"/>
    </row>
    <row r="9" spans="1:15" ht="15.75" thickBot="1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>
      <c r="A10" s="18" t="s">
        <v>41</v>
      </c>
      <c r="B10" s="105" t="s">
        <v>0</v>
      </c>
      <c r="C10" s="106"/>
      <c r="D10" s="28"/>
      <c r="E10" s="28" t="s">
        <v>1</v>
      </c>
      <c r="F10" s="107" t="s">
        <v>2</v>
      </c>
      <c r="G10" s="108"/>
      <c r="H10" s="109" t="s">
        <v>3</v>
      </c>
      <c r="I10" s="110"/>
      <c r="J10" s="107" t="s">
        <v>4</v>
      </c>
      <c r="K10" s="108"/>
      <c r="L10" s="109" t="s">
        <v>5</v>
      </c>
      <c r="M10" s="110"/>
      <c r="N10" s="107" t="s">
        <v>6</v>
      </c>
      <c r="O10" s="108"/>
    </row>
    <row r="11" spans="1:15" ht="15">
      <c r="A11" s="120" t="s">
        <v>35</v>
      </c>
      <c r="B11" s="123">
        <f>2592.63*1.0507</f>
        <v>2724.076341</v>
      </c>
      <c r="C11" s="124"/>
      <c r="D11" s="20" t="str">
        <f>D3</f>
        <v>B10</v>
      </c>
      <c r="E11" s="6">
        <f>B11*10/100+B11</f>
        <v>2996.4839751</v>
      </c>
      <c r="F11" s="1" t="str">
        <f>F3</f>
        <v>C10</v>
      </c>
      <c r="G11" s="14">
        <f>E12*10/100+E12</f>
        <v>3362.0550200622</v>
      </c>
      <c r="H11" s="2" t="str">
        <f>H3</f>
        <v>D10</v>
      </c>
      <c r="I11" s="8">
        <f>G12*10/100+G12</f>
        <v>3772.2257325097885</v>
      </c>
      <c r="J11" s="1" t="str">
        <f>J3</f>
        <v>E2</v>
      </c>
      <c r="K11" s="14">
        <f>I12*2/100+I12</f>
        <v>3924.6236521031838</v>
      </c>
      <c r="L11" s="2" t="str">
        <f>L3</f>
        <v>F2</v>
      </c>
      <c r="M11" s="8">
        <f>K12*2/100+K12</f>
        <v>4043.1472863966997</v>
      </c>
      <c r="N11" s="1" t="str">
        <f>N3</f>
        <v>G2</v>
      </c>
      <c r="O11" s="8">
        <f>M12*2/100+M12</f>
        <v>4165.25033444588</v>
      </c>
    </row>
    <row r="12" spans="1:15" ht="15.75" thickBot="1">
      <c r="A12" s="121"/>
      <c r="B12" s="125"/>
      <c r="C12" s="126"/>
      <c r="D12" s="25" t="str">
        <f>D4</f>
        <v>B2</v>
      </c>
      <c r="E12" s="7">
        <f>E11*2/100+E11</f>
        <v>3056.413654602</v>
      </c>
      <c r="F12" s="3" t="str">
        <f>F4</f>
        <v>C2</v>
      </c>
      <c r="G12" s="9">
        <f>G11*2/100+G11</f>
        <v>3429.296120463444</v>
      </c>
      <c r="H12" s="4" t="str">
        <f>H4</f>
        <v>D2</v>
      </c>
      <c r="I12" s="9">
        <f>I11*2/100+I11</f>
        <v>3847.6702471599842</v>
      </c>
      <c r="J12" s="3" t="str">
        <f>J4</f>
        <v>E1</v>
      </c>
      <c r="K12" s="9">
        <f>K11*1/100+K11</f>
        <v>3963.8698886242155</v>
      </c>
      <c r="L12" s="4" t="str">
        <f>L4</f>
        <v>F1</v>
      </c>
      <c r="M12" s="9">
        <f>M11*1/100+M11</f>
        <v>4083.5787592606666</v>
      </c>
      <c r="N12" s="3" t="str">
        <f>N4</f>
        <v>G1</v>
      </c>
      <c r="O12" s="9">
        <f>O11*1/100+O11</f>
        <v>4206.902837790339</v>
      </c>
    </row>
    <row r="13" spans="1:15" ht="15.75" thickBot="1">
      <c r="A13" s="12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</row>
    <row r="14" spans="1:15" ht="15.75" thickBot="1">
      <c r="A14" s="121"/>
      <c r="B14" s="94" t="s">
        <v>7</v>
      </c>
      <c r="C14" s="93"/>
      <c r="D14" s="23"/>
      <c r="E14" s="24" t="s">
        <v>8</v>
      </c>
      <c r="F14" s="26"/>
      <c r="G14" s="29" t="s">
        <v>9</v>
      </c>
      <c r="H14" s="23"/>
      <c r="I14" s="24" t="s">
        <v>10</v>
      </c>
      <c r="J14" s="23"/>
      <c r="K14" s="24" t="s">
        <v>11</v>
      </c>
      <c r="L14" s="107"/>
      <c r="M14" s="108"/>
      <c r="N14" s="109"/>
      <c r="O14" s="108"/>
    </row>
    <row r="15" spans="1:15" ht="15">
      <c r="A15" s="121"/>
      <c r="B15" s="2" t="str">
        <f>B7</f>
        <v>H2</v>
      </c>
      <c r="C15" s="8">
        <f>O12*2/100+O12</f>
        <v>4291.040894546146</v>
      </c>
      <c r="D15" s="2" t="str">
        <f>D7</f>
        <v>I2</v>
      </c>
      <c r="E15" s="14">
        <f>C16*2/100+C16</f>
        <v>4420.630329561439</v>
      </c>
      <c r="F15" s="1" t="str">
        <f>F7</f>
        <v>J2</v>
      </c>
      <c r="G15" s="8">
        <f>E16*2/100+E16</f>
        <v>4554.133365514194</v>
      </c>
      <c r="H15" s="1" t="str">
        <f>H7</f>
        <v>K2</v>
      </c>
      <c r="I15" s="8">
        <f>G16*2/100+G16</f>
        <v>4691.668193152723</v>
      </c>
      <c r="J15" s="2" t="str">
        <f>J7</f>
        <v>L2</v>
      </c>
      <c r="K15" s="8">
        <f>I16*2/100+I16</f>
        <v>4833.356572585934</v>
      </c>
      <c r="L15" s="1"/>
      <c r="M15" s="8"/>
      <c r="N15" s="2"/>
      <c r="O15" s="8"/>
    </row>
    <row r="16" spans="1:15" ht="15.75" thickBot="1">
      <c r="A16" s="122"/>
      <c r="B16" s="4" t="str">
        <f>B8</f>
        <v>H1</v>
      </c>
      <c r="C16" s="9">
        <f>C15*1/100+C15</f>
        <v>4333.951303491607</v>
      </c>
      <c r="D16" s="4" t="str">
        <f>D8</f>
        <v>I1</v>
      </c>
      <c r="E16" s="9">
        <f>E15*1/100+E15</f>
        <v>4464.836632857054</v>
      </c>
      <c r="F16" s="3" t="str">
        <f>F8</f>
        <v>J1</v>
      </c>
      <c r="G16" s="9">
        <f>G15*1/100+G15</f>
        <v>4599.674699169336</v>
      </c>
      <c r="H16" s="3" t="str">
        <f>H8</f>
        <v>K1</v>
      </c>
      <c r="I16" s="9">
        <f>I15*1/100+I15</f>
        <v>4738.58487508425</v>
      </c>
      <c r="J16" s="4" t="str">
        <f>J8</f>
        <v>L1</v>
      </c>
      <c r="K16" s="9">
        <f>K15*1/100+K15</f>
        <v>4881.690138311794</v>
      </c>
      <c r="L16" s="3"/>
      <c r="M16" s="9"/>
      <c r="N16" s="4"/>
      <c r="O16" s="9"/>
    </row>
    <row r="17" spans="1:15" ht="15.75" thickBot="1">
      <c r="A17" s="2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>
      <c r="A18" s="18" t="s">
        <v>42</v>
      </c>
      <c r="B18" s="105" t="s">
        <v>0</v>
      </c>
      <c r="C18" s="106"/>
      <c r="D18" s="28"/>
      <c r="E18" s="28" t="s">
        <v>1</v>
      </c>
      <c r="F18" s="107" t="s">
        <v>2</v>
      </c>
      <c r="G18" s="108"/>
      <c r="H18" s="109" t="s">
        <v>3</v>
      </c>
      <c r="I18" s="110"/>
      <c r="J18" s="107" t="s">
        <v>4</v>
      </c>
      <c r="K18" s="108"/>
      <c r="L18" s="109" t="s">
        <v>5</v>
      </c>
      <c r="M18" s="110"/>
      <c r="N18" s="107" t="s">
        <v>6</v>
      </c>
      <c r="O18" s="108"/>
    </row>
    <row r="19" spans="1:15" ht="15">
      <c r="A19" s="120" t="s">
        <v>37</v>
      </c>
      <c r="B19" s="99">
        <f>2592.63*1.0507</f>
        <v>2724.076341</v>
      </c>
      <c r="C19" s="100"/>
      <c r="D19" s="1" t="str">
        <f>D3</f>
        <v>B10</v>
      </c>
      <c r="E19" s="6">
        <f>B19*10/100+B19</f>
        <v>2996.4839751</v>
      </c>
      <c r="F19" s="2" t="str">
        <f>F3</f>
        <v>C10</v>
      </c>
      <c r="G19" s="14">
        <f>E20*10/100+E20</f>
        <v>3362.0550200622</v>
      </c>
      <c r="H19" s="1" t="str">
        <f>H3</f>
        <v>D10</v>
      </c>
      <c r="I19" s="8">
        <f>G20*10/100+G20</f>
        <v>3772.2257325097885</v>
      </c>
      <c r="J19" s="2" t="str">
        <f>J3</f>
        <v>E2</v>
      </c>
      <c r="K19" s="14">
        <f>I20*2/100+I20</f>
        <v>3924.6236521031838</v>
      </c>
      <c r="L19" s="1" t="str">
        <f>L3</f>
        <v>F2</v>
      </c>
      <c r="M19" s="8">
        <f>K20*2/100+K20</f>
        <v>4043.1472863966997</v>
      </c>
      <c r="N19" s="1" t="str">
        <f>N3</f>
        <v>G2</v>
      </c>
      <c r="O19" s="8">
        <f>M20*2/100+M20</f>
        <v>4165.25033444588</v>
      </c>
    </row>
    <row r="20" spans="1:15" ht="15.75" thickBot="1">
      <c r="A20" s="121"/>
      <c r="B20" s="101"/>
      <c r="C20" s="102"/>
      <c r="D20" s="3" t="str">
        <f>D4</f>
        <v>B2</v>
      </c>
      <c r="E20" s="7">
        <f>E19*2/100+E19</f>
        <v>3056.413654602</v>
      </c>
      <c r="F20" s="4" t="str">
        <f>F4</f>
        <v>C2</v>
      </c>
      <c r="G20" s="9">
        <f>G19*2/100+G19</f>
        <v>3429.296120463444</v>
      </c>
      <c r="H20" s="3" t="str">
        <f>H4</f>
        <v>D2</v>
      </c>
      <c r="I20" s="9">
        <f>I19*2/100+I19</f>
        <v>3847.6702471599842</v>
      </c>
      <c r="J20" s="4" t="str">
        <f>J4</f>
        <v>E1</v>
      </c>
      <c r="K20" s="9">
        <f>K19*1/100+K19</f>
        <v>3963.8698886242155</v>
      </c>
      <c r="L20" s="3" t="str">
        <f>L4</f>
        <v>F1</v>
      </c>
      <c r="M20" s="9">
        <f>M19*1/100+M19</f>
        <v>4083.5787592606666</v>
      </c>
      <c r="N20" s="3" t="str">
        <f>N4</f>
        <v>G1</v>
      </c>
      <c r="O20" s="9">
        <f>O19*1/100+O19</f>
        <v>4206.902837790339</v>
      </c>
    </row>
    <row r="21" spans="1:15" ht="15.75" thickBot="1">
      <c r="A21" s="12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ht="15.75" thickBot="1">
      <c r="A22" s="121"/>
      <c r="B22" s="94" t="s">
        <v>7</v>
      </c>
      <c r="C22" s="93"/>
      <c r="D22" s="23"/>
      <c r="E22" s="24" t="s">
        <v>8</v>
      </c>
      <c r="F22" s="26"/>
      <c r="G22" s="29" t="s">
        <v>9</v>
      </c>
      <c r="H22" s="23"/>
      <c r="I22" s="24" t="s">
        <v>10</v>
      </c>
      <c r="J22" s="23"/>
      <c r="K22" s="24" t="s">
        <v>11</v>
      </c>
      <c r="L22" s="107"/>
      <c r="M22" s="108"/>
      <c r="N22" s="109"/>
      <c r="O22" s="108"/>
    </row>
    <row r="23" spans="1:15" ht="15">
      <c r="A23" s="121"/>
      <c r="B23" s="2" t="str">
        <f>B7</f>
        <v>H2</v>
      </c>
      <c r="C23" s="8">
        <f>O20*2/100+O20</f>
        <v>4291.040894546146</v>
      </c>
      <c r="D23" s="2" t="str">
        <f>D7</f>
        <v>I2</v>
      </c>
      <c r="E23" s="14">
        <f>C24*2/100+C24</f>
        <v>4420.630329561439</v>
      </c>
      <c r="F23" s="1" t="str">
        <f>F7</f>
        <v>J2</v>
      </c>
      <c r="G23" s="8">
        <f>E24*2/100+E24</f>
        <v>4554.133365514194</v>
      </c>
      <c r="H23" s="1" t="str">
        <f>H7</f>
        <v>K2</v>
      </c>
      <c r="I23" s="8">
        <f>G24*2/100+G24</f>
        <v>4691.668193152723</v>
      </c>
      <c r="J23" s="2" t="str">
        <f>J7</f>
        <v>L2</v>
      </c>
      <c r="K23" s="8">
        <f>I24*2/100+I24</f>
        <v>4833.356572585934</v>
      </c>
      <c r="L23" s="1"/>
      <c r="M23" s="8"/>
      <c r="N23" s="2"/>
      <c r="O23" s="8"/>
    </row>
    <row r="24" spans="1:15" ht="15.75" thickBot="1">
      <c r="A24" s="122"/>
      <c r="B24" s="4" t="str">
        <f>B8</f>
        <v>H1</v>
      </c>
      <c r="C24" s="9">
        <f>C23*1/100+C23</f>
        <v>4333.951303491607</v>
      </c>
      <c r="D24" s="4" t="str">
        <f>D8</f>
        <v>I1</v>
      </c>
      <c r="E24" s="9">
        <f>E23*1/100+E23</f>
        <v>4464.836632857054</v>
      </c>
      <c r="F24" s="3" t="str">
        <f>F8</f>
        <v>J1</v>
      </c>
      <c r="G24" s="9">
        <f>G23*1/100+G23</f>
        <v>4599.674699169336</v>
      </c>
      <c r="H24" s="3" t="str">
        <f>H8</f>
        <v>K1</v>
      </c>
      <c r="I24" s="9">
        <f>I23*1/100+I23</f>
        <v>4738.58487508425</v>
      </c>
      <c r="J24" s="4" t="str">
        <f>J8</f>
        <v>L1</v>
      </c>
      <c r="K24" s="9">
        <f>K23*1/100+K23</f>
        <v>4881.690138311794</v>
      </c>
      <c r="L24" s="3"/>
      <c r="M24" s="9"/>
      <c r="N24" s="4"/>
      <c r="O24" s="9"/>
    </row>
    <row r="25" spans="1:15" ht="15.75" thickBo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 thickBot="1">
      <c r="A26" s="19" t="s">
        <v>42</v>
      </c>
      <c r="B26" s="105" t="s">
        <v>0</v>
      </c>
      <c r="C26" s="106"/>
      <c r="D26" s="28"/>
      <c r="E26" s="28" t="s">
        <v>1</v>
      </c>
      <c r="F26" s="107" t="s">
        <v>2</v>
      </c>
      <c r="G26" s="108"/>
      <c r="H26" s="109" t="s">
        <v>3</v>
      </c>
      <c r="I26" s="110"/>
      <c r="J26" s="107" t="s">
        <v>4</v>
      </c>
      <c r="K26" s="108"/>
      <c r="L26" s="109" t="s">
        <v>5</v>
      </c>
      <c r="M26" s="110"/>
      <c r="N26" s="107" t="s">
        <v>6</v>
      </c>
      <c r="O26" s="108"/>
    </row>
    <row r="27" spans="1:15" ht="15">
      <c r="A27" s="120" t="s">
        <v>39</v>
      </c>
      <c r="B27" s="99">
        <f>1440.12*1.0507</f>
        <v>1513.1340839999998</v>
      </c>
      <c r="C27" s="100"/>
      <c r="D27" s="1" t="str">
        <f>D19</f>
        <v>B10</v>
      </c>
      <c r="E27" s="6">
        <f>B27*10/100+B27</f>
        <v>1664.4474923999996</v>
      </c>
      <c r="F27" s="2" t="str">
        <f>F19</f>
        <v>C10</v>
      </c>
      <c r="G27" s="14">
        <f>E28*10/100+E28</f>
        <v>1867.5100864727995</v>
      </c>
      <c r="H27" s="1" t="str">
        <f>H19</f>
        <v>D10</v>
      </c>
      <c r="I27" s="8">
        <f>G28*10/100+G28</f>
        <v>2095.3463170224813</v>
      </c>
      <c r="J27" s="2" t="str">
        <f>J19</f>
        <v>E2</v>
      </c>
      <c r="K27" s="14">
        <f>I28*2/100+I28</f>
        <v>2179.998308230189</v>
      </c>
      <c r="L27" s="1" t="str">
        <f>L19</f>
        <v>F2</v>
      </c>
      <c r="M27" s="8">
        <f>K28*2/100+K28</f>
        <v>2245.834257138741</v>
      </c>
      <c r="N27" s="1" t="str">
        <f>N19</f>
        <v>G2</v>
      </c>
      <c r="O27" s="8">
        <f>M28*2/100+M28</f>
        <v>2313.658451704331</v>
      </c>
    </row>
    <row r="28" spans="1:15" ht="15.75" thickBot="1">
      <c r="A28" s="121"/>
      <c r="B28" s="101"/>
      <c r="C28" s="102"/>
      <c r="D28" s="3" t="str">
        <f>D20</f>
        <v>B2</v>
      </c>
      <c r="E28" s="7">
        <f>E27*2/100+E27</f>
        <v>1697.7364422479995</v>
      </c>
      <c r="F28" s="4" t="str">
        <f>F20</f>
        <v>C2</v>
      </c>
      <c r="G28" s="9">
        <f>G27*2/100+G27</f>
        <v>1904.8602882022556</v>
      </c>
      <c r="H28" s="3" t="str">
        <f>H20</f>
        <v>D2</v>
      </c>
      <c r="I28" s="9">
        <f>I27*2/100+I27</f>
        <v>2137.253243362931</v>
      </c>
      <c r="J28" s="4" t="str">
        <f>J20</f>
        <v>E1</v>
      </c>
      <c r="K28" s="9">
        <f>K27*1/100+K27</f>
        <v>2201.798291312491</v>
      </c>
      <c r="L28" s="3" t="str">
        <f>L20</f>
        <v>F1</v>
      </c>
      <c r="M28" s="9">
        <f>M27*1/100+M27</f>
        <v>2268.2925997101283</v>
      </c>
      <c r="N28" s="3" t="str">
        <f>N20</f>
        <v>G1</v>
      </c>
      <c r="O28" s="9">
        <f>O27*1/100+O27</f>
        <v>2336.7950362213746</v>
      </c>
    </row>
    <row r="29" spans="1:15" ht="15.75" thickBot="1">
      <c r="A29" s="12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</row>
    <row r="30" spans="1:15" ht="15.75" thickBot="1">
      <c r="A30" s="121"/>
      <c r="B30" s="94" t="s">
        <v>7</v>
      </c>
      <c r="C30" s="93"/>
      <c r="D30" s="23"/>
      <c r="E30" s="24" t="s">
        <v>8</v>
      </c>
      <c r="F30" s="26"/>
      <c r="G30" s="29" t="s">
        <v>9</v>
      </c>
      <c r="H30" s="23"/>
      <c r="I30" s="24" t="s">
        <v>10</v>
      </c>
      <c r="J30" s="23"/>
      <c r="K30" s="24" t="s">
        <v>11</v>
      </c>
      <c r="L30" s="107"/>
      <c r="M30" s="108"/>
      <c r="N30" s="109"/>
      <c r="O30" s="108"/>
    </row>
    <row r="31" spans="1:15" ht="15">
      <c r="A31" s="121"/>
      <c r="B31" s="2" t="str">
        <f>B23</f>
        <v>H2</v>
      </c>
      <c r="C31" s="8">
        <f>O28*2/100+O28</f>
        <v>2383.5309369458023</v>
      </c>
      <c r="D31" s="2" t="str">
        <f>D23</f>
        <v>I2</v>
      </c>
      <c r="E31" s="14">
        <f>C32*2/100+C32</f>
        <v>2455.513571241566</v>
      </c>
      <c r="F31" s="1" t="str">
        <f>F23</f>
        <v>J2</v>
      </c>
      <c r="G31" s="8">
        <f>E32*2/100+E32</f>
        <v>2529.670081093061</v>
      </c>
      <c r="H31" s="1" t="str">
        <f>H23</f>
        <v>K2</v>
      </c>
      <c r="I31" s="8">
        <f>G32*2/100+G32</f>
        <v>2606.066117542072</v>
      </c>
      <c r="J31" s="2" t="str">
        <f>J23</f>
        <v>L2</v>
      </c>
      <c r="K31" s="8">
        <f>I32*2/100+I32</f>
        <v>2684.7693142918424</v>
      </c>
      <c r="L31" s="1"/>
      <c r="M31" s="8"/>
      <c r="N31" s="2"/>
      <c r="O31" s="8"/>
    </row>
    <row r="32" spans="1:15" ht="15.75" thickBot="1">
      <c r="A32" s="122"/>
      <c r="B32" s="4" t="str">
        <f>B24</f>
        <v>H1</v>
      </c>
      <c r="C32" s="9">
        <f>C31*1/100+C31</f>
        <v>2407.3662463152605</v>
      </c>
      <c r="D32" s="4" t="str">
        <f>D24</f>
        <v>I1</v>
      </c>
      <c r="E32" s="9">
        <f>E31*1/100+E31</f>
        <v>2480.0687069539813</v>
      </c>
      <c r="F32" s="3" t="str">
        <f>F24</f>
        <v>J1</v>
      </c>
      <c r="G32" s="9">
        <f>G31*1/100+G31</f>
        <v>2554.966781903992</v>
      </c>
      <c r="H32" s="3" t="str">
        <f>H24</f>
        <v>K1</v>
      </c>
      <c r="I32" s="9">
        <f>I31*1/100+I31</f>
        <v>2632.1267787174925</v>
      </c>
      <c r="J32" s="4" t="str">
        <f>J24</f>
        <v>L1</v>
      </c>
      <c r="K32" s="9">
        <f>K31*1/100+K31</f>
        <v>2711.617007434761</v>
      </c>
      <c r="L32" s="3"/>
      <c r="M32" s="9"/>
      <c r="N32" s="4"/>
      <c r="O32" s="9"/>
    </row>
    <row r="33" spans="1:15" ht="15.75" thickBot="1">
      <c r="A33" s="21"/>
      <c r="B33" s="12"/>
      <c r="C33" s="13"/>
      <c r="D33" s="13"/>
      <c r="E33" s="13"/>
      <c r="F33" s="12"/>
      <c r="G33" s="13"/>
      <c r="H33" s="12"/>
      <c r="I33" s="13"/>
      <c r="J33" s="12"/>
      <c r="K33" s="13"/>
      <c r="L33" s="12"/>
      <c r="M33" s="13"/>
      <c r="N33" s="12"/>
      <c r="O33" s="13"/>
    </row>
    <row r="34" spans="1:15" ht="15.75" thickBot="1">
      <c r="A34" s="19" t="s">
        <v>43</v>
      </c>
      <c r="B34" s="105" t="s">
        <v>0</v>
      </c>
      <c r="C34" s="106"/>
      <c r="D34" s="27"/>
      <c r="E34" s="28" t="s">
        <v>1</v>
      </c>
      <c r="F34" s="107" t="s">
        <v>2</v>
      </c>
      <c r="G34" s="108"/>
      <c r="H34" s="109" t="s">
        <v>3</v>
      </c>
      <c r="I34" s="110"/>
      <c r="J34" s="107" t="s">
        <v>4</v>
      </c>
      <c r="K34" s="108"/>
      <c r="L34" s="109" t="s">
        <v>5</v>
      </c>
      <c r="M34" s="110"/>
      <c r="N34" s="107" t="s">
        <v>6</v>
      </c>
      <c r="O34" s="108"/>
    </row>
    <row r="35" spans="1:15" ht="15">
      <c r="A35" s="120" t="s">
        <v>38</v>
      </c>
      <c r="B35" s="99">
        <f>3287.75*1.0507</f>
        <v>3454.438925</v>
      </c>
      <c r="C35" s="111"/>
      <c r="D35" s="22" t="str">
        <f>D27</f>
        <v>B10</v>
      </c>
      <c r="E35" s="6">
        <f>B35*10/100+B35</f>
        <v>3799.8828175</v>
      </c>
      <c r="F35" s="2" t="str">
        <f>F27</f>
        <v>C10</v>
      </c>
      <c r="G35" s="14">
        <f>E36*10/100+E36</f>
        <v>4263.468521235</v>
      </c>
      <c r="H35" s="1" t="str">
        <f>H27</f>
        <v>D10</v>
      </c>
      <c r="I35" s="8">
        <f>G36*10/100+G36</f>
        <v>4783.61168082567</v>
      </c>
      <c r="J35" s="2" t="str">
        <f>J27</f>
        <v>E2</v>
      </c>
      <c r="K35" s="14">
        <f>I36*2/100+I36</f>
        <v>4976.869592731027</v>
      </c>
      <c r="L35" s="1" t="str">
        <f>L27</f>
        <v>F2</v>
      </c>
      <c r="M35" s="8">
        <f>K36*2/100+K36</f>
        <v>5127.171054431505</v>
      </c>
      <c r="N35" s="1" t="str">
        <f>N27</f>
        <v>G2</v>
      </c>
      <c r="O35" s="8">
        <f>M36*2/100+M36</f>
        <v>5282.011620275336</v>
      </c>
    </row>
    <row r="36" spans="1:15" ht="15.75" thickBot="1">
      <c r="A36" s="121"/>
      <c r="B36" s="101"/>
      <c r="C36" s="102"/>
      <c r="D36" s="25" t="str">
        <f>D28</f>
        <v>B2</v>
      </c>
      <c r="E36" s="7">
        <f>E35*2/100+E35</f>
        <v>3875.88047385</v>
      </c>
      <c r="F36" s="4" t="str">
        <f>F28</f>
        <v>C2</v>
      </c>
      <c r="G36" s="9">
        <f>G35*2/100+G35</f>
        <v>4348.7378916597</v>
      </c>
      <c r="H36" s="3" t="str">
        <f>H28</f>
        <v>D2</v>
      </c>
      <c r="I36" s="9">
        <f>I35*2/100+I35</f>
        <v>4879.283914442183</v>
      </c>
      <c r="J36" s="4" t="str">
        <f>J28</f>
        <v>E1</v>
      </c>
      <c r="K36" s="9">
        <f>K35*1/100+K35</f>
        <v>5026.638288658338</v>
      </c>
      <c r="L36" s="3" t="str">
        <f>L28</f>
        <v>F1</v>
      </c>
      <c r="M36" s="9">
        <f>M35*1/100+M35</f>
        <v>5178.44276497582</v>
      </c>
      <c r="N36" s="3" t="str">
        <f>N28</f>
        <v>G1</v>
      </c>
      <c r="O36" s="9">
        <f>O35*1/100+O35</f>
        <v>5334.83173647809</v>
      </c>
    </row>
    <row r="37" spans="1:15" ht="15.75" thickBot="1">
      <c r="A37" s="12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.75" thickBot="1">
      <c r="A38" s="121"/>
      <c r="B38" s="94" t="s">
        <v>7</v>
      </c>
      <c r="C38" s="93"/>
      <c r="D38" s="23"/>
      <c r="E38" s="24" t="s">
        <v>8</v>
      </c>
      <c r="F38" s="26"/>
      <c r="G38" s="29" t="s">
        <v>9</v>
      </c>
      <c r="H38" s="23"/>
      <c r="I38" s="24" t="s">
        <v>10</v>
      </c>
      <c r="J38" s="23"/>
      <c r="K38" s="24" t="s">
        <v>11</v>
      </c>
      <c r="L38" s="107"/>
      <c r="M38" s="108"/>
      <c r="N38" s="109"/>
      <c r="O38" s="108"/>
    </row>
    <row r="39" spans="1:15" ht="15">
      <c r="A39" s="121"/>
      <c r="B39" s="2" t="str">
        <f>B31</f>
        <v>H2</v>
      </c>
      <c r="C39" s="8">
        <f>O36*2/100+O36</f>
        <v>5441.528371207652</v>
      </c>
      <c r="D39" s="2" t="str">
        <f>D31</f>
        <v>I2</v>
      </c>
      <c r="E39" s="14">
        <f>C40*2/100+C40</f>
        <v>5605.862528018122</v>
      </c>
      <c r="F39" s="1" t="str">
        <f>F31</f>
        <v>J2</v>
      </c>
      <c r="G39" s="8">
        <f>E40*2/100+E40</f>
        <v>5775.15957636427</v>
      </c>
      <c r="H39" s="1" t="str">
        <f>H31</f>
        <v>K2</v>
      </c>
      <c r="I39" s="8">
        <f>G40*2/100+G40</f>
        <v>5949.569395570471</v>
      </c>
      <c r="J39" s="2" t="str">
        <f>J31</f>
        <v>L2</v>
      </c>
      <c r="K39" s="8">
        <f>I40*2/100+I40</f>
        <v>6129.246391316699</v>
      </c>
      <c r="L39" s="1"/>
      <c r="M39" s="8"/>
      <c r="N39" s="2"/>
      <c r="O39" s="8"/>
    </row>
    <row r="40" spans="1:15" ht="15.75" thickBot="1">
      <c r="A40" s="122"/>
      <c r="B40" s="4" t="str">
        <f>B32</f>
        <v>H1</v>
      </c>
      <c r="C40" s="9">
        <f>C39*1/100+C39</f>
        <v>5495.943654919728</v>
      </c>
      <c r="D40" s="4" t="str">
        <f>D32</f>
        <v>I1</v>
      </c>
      <c r="E40" s="9">
        <f>E39*1/100+E39</f>
        <v>5661.921153298304</v>
      </c>
      <c r="F40" s="3" t="str">
        <f>F32</f>
        <v>J1</v>
      </c>
      <c r="G40" s="9">
        <f>G39*1/100+G39</f>
        <v>5832.911172127912</v>
      </c>
      <c r="H40" s="3" t="str">
        <f>H32</f>
        <v>K1</v>
      </c>
      <c r="I40" s="9">
        <f>I39*1/100+I39</f>
        <v>6009.065089526176</v>
      </c>
      <c r="J40" s="4" t="str">
        <f>J32</f>
        <v>L1</v>
      </c>
      <c r="K40" s="9">
        <f>K39*1/100+K39</f>
        <v>6190.538855229866</v>
      </c>
      <c r="L40" s="3"/>
      <c r="M40" s="9"/>
      <c r="N40" s="4"/>
      <c r="O40" s="9"/>
    </row>
    <row r="41" spans="1:15" ht="15.75" thickBot="1">
      <c r="A41" s="21"/>
      <c r="B41" s="12"/>
      <c r="C41" s="13"/>
      <c r="D41" s="13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13"/>
    </row>
    <row r="42" spans="1:15" ht="15.75" thickBot="1">
      <c r="A42" s="19" t="s">
        <v>44</v>
      </c>
      <c r="B42" s="105" t="s">
        <v>0</v>
      </c>
      <c r="C42" s="106"/>
      <c r="D42" s="28"/>
      <c r="E42" s="28" t="s">
        <v>1</v>
      </c>
      <c r="F42" s="107" t="s">
        <v>2</v>
      </c>
      <c r="G42" s="108"/>
      <c r="H42" s="109" t="s">
        <v>3</v>
      </c>
      <c r="I42" s="110"/>
      <c r="J42" s="107" t="s">
        <v>4</v>
      </c>
      <c r="K42" s="108"/>
      <c r="L42" s="109" t="s">
        <v>5</v>
      </c>
      <c r="M42" s="110"/>
      <c r="N42" s="107" t="s">
        <v>6</v>
      </c>
      <c r="O42" s="108"/>
    </row>
    <row r="43" spans="1:15" ht="15">
      <c r="A43" s="120" t="s">
        <v>18</v>
      </c>
      <c r="B43" s="99">
        <f>4600.56*1.0507</f>
        <v>4833.808392</v>
      </c>
      <c r="C43" s="100"/>
      <c r="D43" s="20" t="str">
        <f>D35</f>
        <v>B10</v>
      </c>
      <c r="E43" s="6">
        <f>B43*10/100+B43</f>
        <v>5317.1892312</v>
      </c>
      <c r="F43" s="2" t="str">
        <f>F35</f>
        <v>C10</v>
      </c>
      <c r="G43" s="14">
        <f>E44*10/100+E44</f>
        <v>5965.886317406401</v>
      </c>
      <c r="H43" s="1" t="str">
        <f>H35</f>
        <v>D10</v>
      </c>
      <c r="I43" s="8">
        <f>G44*10/100+G44</f>
        <v>6693.724448129982</v>
      </c>
      <c r="J43" s="2" t="str">
        <f>J35</f>
        <v>E2</v>
      </c>
      <c r="K43" s="14">
        <f>I44*2/100+I44</f>
        <v>6964.150915834433</v>
      </c>
      <c r="L43" s="1" t="str">
        <f>L35</f>
        <v>F2</v>
      </c>
      <c r="M43" s="8">
        <f>K44*2/100+K44</f>
        <v>7174.468273492633</v>
      </c>
      <c r="N43" s="1" t="str">
        <f>N35</f>
        <v>G2</v>
      </c>
      <c r="O43" s="8">
        <f>M44*2/100+M44</f>
        <v>7391.137215352111</v>
      </c>
    </row>
    <row r="44" spans="1:15" ht="15.75" thickBot="1">
      <c r="A44" s="121"/>
      <c r="B44" s="101"/>
      <c r="C44" s="102"/>
      <c r="D44" s="25" t="str">
        <f>D36</f>
        <v>B2</v>
      </c>
      <c r="E44" s="7">
        <f>E43*2/100+E43</f>
        <v>5423.533015824</v>
      </c>
      <c r="F44" s="4" t="str">
        <f>F36</f>
        <v>C2</v>
      </c>
      <c r="G44" s="9">
        <f>G43*2/100+G43</f>
        <v>6085.204043754529</v>
      </c>
      <c r="H44" s="3" t="str">
        <f>H36</f>
        <v>D2</v>
      </c>
      <c r="I44" s="9">
        <f>I43*2/100+I43</f>
        <v>6827.598937092582</v>
      </c>
      <c r="J44" s="4" t="str">
        <f>J36</f>
        <v>E1</v>
      </c>
      <c r="K44" s="9">
        <f>K43*1/100+K43</f>
        <v>7033.792424992777</v>
      </c>
      <c r="L44" s="3" t="str">
        <f>L36</f>
        <v>F1</v>
      </c>
      <c r="M44" s="9">
        <f>M43*1/100+M43</f>
        <v>7246.2129562275595</v>
      </c>
      <c r="N44" s="3" t="str">
        <f>N36</f>
        <v>G1</v>
      </c>
      <c r="O44" s="9">
        <f>O43*1/100+O43</f>
        <v>7465.048587505632</v>
      </c>
    </row>
    <row r="45" spans="1:15" ht="15.75" thickBot="1">
      <c r="A45" s="1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.75" thickBot="1">
      <c r="A46" s="121"/>
      <c r="B46" s="94" t="s">
        <v>7</v>
      </c>
      <c r="C46" s="93"/>
      <c r="D46" s="23"/>
      <c r="E46" s="24" t="s">
        <v>8</v>
      </c>
      <c r="F46" s="26"/>
      <c r="G46" s="29" t="s">
        <v>9</v>
      </c>
      <c r="H46" s="23"/>
      <c r="I46" s="24" t="s">
        <v>10</v>
      </c>
      <c r="J46" s="23"/>
      <c r="K46" s="24" t="s">
        <v>11</v>
      </c>
      <c r="L46" s="109"/>
      <c r="M46" s="108"/>
      <c r="N46" s="109"/>
      <c r="O46" s="108"/>
    </row>
    <row r="47" spans="1:15" ht="15">
      <c r="A47" s="121"/>
      <c r="B47" s="2" t="str">
        <f>B39</f>
        <v>H2</v>
      </c>
      <c r="C47" s="8">
        <f>O44*2/100+O44</f>
        <v>7614.349559255745</v>
      </c>
      <c r="D47" s="1" t="str">
        <f>D39</f>
        <v>I2</v>
      </c>
      <c r="E47" s="14">
        <f>C48*2/100+C48</f>
        <v>7844.302915945269</v>
      </c>
      <c r="F47" s="2" t="str">
        <f>F39</f>
        <v>J2</v>
      </c>
      <c r="G47" s="8">
        <f>E48*2/100+E48</f>
        <v>8081.200864006816</v>
      </c>
      <c r="H47" s="1" t="str">
        <f>H39</f>
        <v>K2</v>
      </c>
      <c r="I47" s="8">
        <f>G48*2/100+G48</f>
        <v>8325.253130099822</v>
      </c>
      <c r="J47" s="1" t="str">
        <f>J39</f>
        <v>L2</v>
      </c>
      <c r="K47" s="8">
        <f>I48*2/100+I48</f>
        <v>8576.675774628835</v>
      </c>
      <c r="L47" s="2"/>
      <c r="M47" s="8"/>
      <c r="N47" s="2"/>
      <c r="O47" s="8"/>
    </row>
    <row r="48" spans="1:15" ht="15.75" thickBot="1">
      <c r="A48" s="122"/>
      <c r="B48" s="4" t="str">
        <f>B40</f>
        <v>H1</v>
      </c>
      <c r="C48" s="9">
        <f>C47*1/100+C47</f>
        <v>7690.493054848303</v>
      </c>
      <c r="D48" s="3" t="str">
        <f>D40</f>
        <v>I1</v>
      </c>
      <c r="E48" s="9">
        <f>E47*1/100+E47</f>
        <v>7922.745945104722</v>
      </c>
      <c r="F48" s="4" t="str">
        <f>F40</f>
        <v>J1</v>
      </c>
      <c r="G48" s="9">
        <f>G47*1/100+G47</f>
        <v>8162.012872646885</v>
      </c>
      <c r="H48" s="3" t="str">
        <f>H40</f>
        <v>K1</v>
      </c>
      <c r="I48" s="9">
        <f>I47*1/100+I47</f>
        <v>8408.505661400819</v>
      </c>
      <c r="J48" s="3" t="str">
        <f>J40</f>
        <v>L1</v>
      </c>
      <c r="K48" s="9">
        <f>K47*1/100+K47</f>
        <v>8662.442532375124</v>
      </c>
      <c r="L48" s="4"/>
      <c r="M48" s="9"/>
      <c r="N48" s="4"/>
      <c r="O48" s="9"/>
    </row>
  </sheetData>
  <sheetProtection/>
  <mergeCells count="68">
    <mergeCell ref="N42:O42"/>
    <mergeCell ref="A43:A48"/>
    <mergeCell ref="B43:C44"/>
    <mergeCell ref="B46:C46"/>
    <mergeCell ref="L46:M46"/>
    <mergeCell ref="N46:O46"/>
    <mergeCell ref="A35:A40"/>
    <mergeCell ref="B35:C36"/>
    <mergeCell ref="B38:C38"/>
    <mergeCell ref="L38:M38"/>
    <mergeCell ref="N38:O38"/>
    <mergeCell ref="B42:C42"/>
    <mergeCell ref="F42:G42"/>
    <mergeCell ref="H42:I42"/>
    <mergeCell ref="J42:K42"/>
    <mergeCell ref="L42:M42"/>
    <mergeCell ref="B34:C34"/>
    <mergeCell ref="F34:G34"/>
    <mergeCell ref="H34:I34"/>
    <mergeCell ref="J34:K34"/>
    <mergeCell ref="L34:M34"/>
    <mergeCell ref="N34:O34"/>
    <mergeCell ref="N26:O26"/>
    <mergeCell ref="A27:A32"/>
    <mergeCell ref="B27:C28"/>
    <mergeCell ref="B30:C30"/>
    <mergeCell ref="L30:M30"/>
    <mergeCell ref="N30:O30"/>
    <mergeCell ref="A19:A24"/>
    <mergeCell ref="B19:C20"/>
    <mergeCell ref="B22:C22"/>
    <mergeCell ref="L22:M22"/>
    <mergeCell ref="N22:O22"/>
    <mergeCell ref="B26:C26"/>
    <mergeCell ref="F26:G26"/>
    <mergeCell ref="H26:I26"/>
    <mergeCell ref="J26:K26"/>
    <mergeCell ref="L26:M26"/>
    <mergeCell ref="B18:C18"/>
    <mergeCell ref="F18:G18"/>
    <mergeCell ref="H18:I18"/>
    <mergeCell ref="J18:K18"/>
    <mergeCell ref="L18:M18"/>
    <mergeCell ref="N18:O18"/>
    <mergeCell ref="N10:O10"/>
    <mergeCell ref="A11:A16"/>
    <mergeCell ref="B11:C12"/>
    <mergeCell ref="B14:C14"/>
    <mergeCell ref="L14:M14"/>
    <mergeCell ref="N14:O14"/>
    <mergeCell ref="A3:A8"/>
    <mergeCell ref="B3:C4"/>
    <mergeCell ref="B6:C6"/>
    <mergeCell ref="L6:M6"/>
    <mergeCell ref="N6:O6"/>
    <mergeCell ref="B10:C10"/>
    <mergeCell ref="F10:G10"/>
    <mergeCell ref="H10:I10"/>
    <mergeCell ref="J10:K10"/>
    <mergeCell ref="L10:M10"/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B1">
      <selection activeCell="N10" sqref="N10"/>
    </sheetView>
  </sheetViews>
  <sheetFormatPr defaultColWidth="9.140625" defaultRowHeight="15"/>
  <cols>
    <col min="1" max="1" width="3.421875" style="38" bestFit="1" customWidth="1"/>
    <col min="2" max="2" width="31.00390625" style="0" bestFit="1" customWidth="1"/>
    <col min="3" max="3" width="31.28125" style="0" bestFit="1" customWidth="1"/>
    <col min="4" max="4" width="10.7109375" style="0" bestFit="1" customWidth="1"/>
    <col min="5" max="5" width="7.28125" style="0" bestFit="1" customWidth="1"/>
    <col min="6" max="6" width="6.8515625" style="0" bestFit="1" customWidth="1"/>
    <col min="7" max="7" width="12.8515625" style="0" bestFit="1" customWidth="1"/>
    <col min="8" max="8" width="13.57421875" style="0" bestFit="1" customWidth="1"/>
    <col min="9" max="9" width="23.28125" style="0" customWidth="1"/>
    <col min="10" max="10" width="14.8515625" style="0" bestFit="1" customWidth="1"/>
    <col min="11" max="11" width="12.7109375" style="0" customWidth="1"/>
    <col min="12" max="12" width="12.140625" style="0" bestFit="1" customWidth="1"/>
  </cols>
  <sheetData>
    <row r="1" spans="1:10" ht="15">
      <c r="A1" s="127" t="s">
        <v>82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2" ht="15">
      <c r="A2" s="128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37" customFormat="1" ht="45">
      <c r="A3" s="39" t="s">
        <v>84</v>
      </c>
      <c r="B3" s="46" t="s">
        <v>75</v>
      </c>
      <c r="C3" s="46" t="s">
        <v>76</v>
      </c>
      <c r="D3" s="46" t="s">
        <v>77</v>
      </c>
      <c r="E3" s="46" t="s">
        <v>78</v>
      </c>
      <c r="F3" s="46" t="s">
        <v>83</v>
      </c>
      <c r="G3" s="46" t="s">
        <v>98</v>
      </c>
      <c r="H3" s="46" t="s">
        <v>81</v>
      </c>
      <c r="I3" s="46" t="s">
        <v>85</v>
      </c>
      <c r="J3" s="46" t="s">
        <v>97</v>
      </c>
      <c r="K3" s="75" t="s">
        <v>99</v>
      </c>
      <c r="L3" s="75" t="s">
        <v>100</v>
      </c>
    </row>
    <row r="4" spans="1:12" ht="15">
      <c r="A4" s="47">
        <v>1</v>
      </c>
      <c r="B4" s="57" t="s">
        <v>47</v>
      </c>
      <c r="C4" s="57" t="s">
        <v>48</v>
      </c>
      <c r="D4" s="61">
        <v>36630</v>
      </c>
      <c r="E4" s="62">
        <v>1</v>
      </c>
      <c r="F4" s="48" t="s">
        <v>29</v>
      </c>
      <c r="G4" s="49">
        <v>2253.23</v>
      </c>
      <c r="H4" s="51">
        <f>G4*1.0507</f>
        <v>2367.468761</v>
      </c>
      <c r="I4" s="51">
        <v>2419.18</v>
      </c>
      <c r="J4" s="63">
        <f>I4-H4</f>
        <v>51.71123899999975</v>
      </c>
      <c r="K4" s="64">
        <v>2166.36</v>
      </c>
      <c r="L4" s="65">
        <f>K4*1.0507</f>
        <v>2276.194452</v>
      </c>
    </row>
    <row r="5" spans="1:12" ht="15">
      <c r="A5" s="47">
        <v>2</v>
      </c>
      <c r="B5" s="57" t="s">
        <v>49</v>
      </c>
      <c r="C5" s="57" t="s">
        <v>50</v>
      </c>
      <c r="D5" s="61">
        <v>40861</v>
      </c>
      <c r="E5" s="62" t="s">
        <v>86</v>
      </c>
      <c r="F5" s="48" t="s">
        <v>92</v>
      </c>
      <c r="G5" s="49">
        <v>3252.2</v>
      </c>
      <c r="H5" s="51">
        <f aca="true" t="shared" si="0" ref="H5:H22">G5*1.0507</f>
        <v>3417.08654</v>
      </c>
      <c r="I5" s="50">
        <v>3429.3</v>
      </c>
      <c r="J5" s="63">
        <f aca="true" t="shared" si="1" ref="J5:J25">I5-H5</f>
        <v>12.213460000000396</v>
      </c>
      <c r="K5" s="64">
        <v>3101.09</v>
      </c>
      <c r="L5" s="65">
        <f aca="true" t="shared" si="2" ref="L5:L25">K5*1.0507</f>
        <v>3258.315263</v>
      </c>
    </row>
    <row r="6" spans="1:12" ht="15">
      <c r="A6" s="47">
        <v>3</v>
      </c>
      <c r="B6" s="57" t="s">
        <v>51</v>
      </c>
      <c r="C6" s="57" t="s">
        <v>50</v>
      </c>
      <c r="D6" s="61">
        <v>41225</v>
      </c>
      <c r="E6" s="62" t="s">
        <v>86</v>
      </c>
      <c r="F6" s="48" t="s">
        <v>92</v>
      </c>
      <c r="G6" s="49">
        <v>3252.2</v>
      </c>
      <c r="H6" s="51">
        <f t="shared" si="0"/>
        <v>3417.08654</v>
      </c>
      <c r="I6" s="51">
        <v>3429.3</v>
      </c>
      <c r="J6" s="63">
        <f t="shared" si="1"/>
        <v>12.213460000000396</v>
      </c>
      <c r="K6" s="64">
        <v>2819.18</v>
      </c>
      <c r="L6" s="65">
        <f t="shared" si="2"/>
        <v>2962.1124259999997</v>
      </c>
    </row>
    <row r="7" spans="1:12" s="60" customFormat="1" ht="15">
      <c r="A7" s="48">
        <v>4</v>
      </c>
      <c r="B7" s="57" t="s">
        <v>52</v>
      </c>
      <c r="C7" s="57" t="s">
        <v>50</v>
      </c>
      <c r="D7" s="61">
        <v>39006</v>
      </c>
      <c r="E7" s="62" t="s">
        <v>86</v>
      </c>
      <c r="F7" s="48" t="s">
        <v>25</v>
      </c>
      <c r="G7" s="49">
        <v>3752.45</v>
      </c>
      <c r="H7" s="51">
        <f t="shared" si="0"/>
        <v>3942.6992149999996</v>
      </c>
      <c r="I7" s="51">
        <v>3924.62</v>
      </c>
      <c r="J7" s="63">
        <f t="shared" si="1"/>
        <v>-18.07921499999975</v>
      </c>
      <c r="K7" s="70">
        <v>3536.39</v>
      </c>
      <c r="L7" s="76">
        <f t="shared" si="2"/>
        <v>3715.684973</v>
      </c>
    </row>
    <row r="8" spans="1:12" ht="15">
      <c r="A8" s="47">
        <v>5</v>
      </c>
      <c r="B8" s="57" t="s">
        <v>53</v>
      </c>
      <c r="C8" s="57" t="s">
        <v>54</v>
      </c>
      <c r="D8" s="61">
        <v>41204</v>
      </c>
      <c r="E8" s="62" t="s">
        <v>87</v>
      </c>
      <c r="F8" s="48" t="s">
        <v>14</v>
      </c>
      <c r="G8" s="49">
        <v>5667.89</v>
      </c>
      <c r="H8" s="51">
        <f t="shared" si="0"/>
        <v>5955.252023</v>
      </c>
      <c r="I8" s="51">
        <v>5965.89</v>
      </c>
      <c r="J8" s="63">
        <f t="shared" si="1"/>
        <v>10.637977000000319</v>
      </c>
      <c r="K8" s="64">
        <v>5002.56</v>
      </c>
      <c r="L8" s="65">
        <f t="shared" si="2"/>
        <v>5256.189792</v>
      </c>
    </row>
    <row r="9" spans="1:12" ht="15">
      <c r="A9" s="47">
        <v>6</v>
      </c>
      <c r="B9" s="57" t="s">
        <v>55</v>
      </c>
      <c r="C9" s="57" t="s">
        <v>50</v>
      </c>
      <c r="D9" s="61">
        <v>43208</v>
      </c>
      <c r="E9" s="62" t="s">
        <v>86</v>
      </c>
      <c r="F9" s="48" t="s">
        <v>0</v>
      </c>
      <c r="G9" s="49">
        <v>2592.63</v>
      </c>
      <c r="H9" s="51">
        <f t="shared" si="0"/>
        <v>2724.076341</v>
      </c>
      <c r="I9" s="51">
        <v>2724.08</v>
      </c>
      <c r="J9" s="63">
        <f t="shared" si="1"/>
        <v>0.003658999999970547</v>
      </c>
      <c r="K9" s="64">
        <v>2517.12</v>
      </c>
      <c r="L9" s="65">
        <f t="shared" si="2"/>
        <v>2644.737984</v>
      </c>
    </row>
    <row r="10" spans="1:12" ht="15">
      <c r="A10" s="47">
        <v>7</v>
      </c>
      <c r="B10" s="57" t="s">
        <v>56</v>
      </c>
      <c r="C10" s="57" t="s">
        <v>50</v>
      </c>
      <c r="D10" s="61">
        <v>40994</v>
      </c>
      <c r="E10" s="62" t="s">
        <v>86</v>
      </c>
      <c r="F10" s="48" t="s">
        <v>92</v>
      </c>
      <c r="G10" s="49">
        <v>3252.2</v>
      </c>
      <c r="H10" s="51">
        <f t="shared" si="0"/>
        <v>3417.08654</v>
      </c>
      <c r="I10" s="51">
        <v>3429.3</v>
      </c>
      <c r="J10" s="63">
        <f t="shared" si="1"/>
        <v>12.213460000000396</v>
      </c>
      <c r="K10" s="64">
        <v>3101.1</v>
      </c>
      <c r="L10" s="65">
        <f t="shared" si="2"/>
        <v>3258.32577</v>
      </c>
    </row>
    <row r="11" spans="1:12" s="60" customFormat="1" ht="15">
      <c r="A11" s="52">
        <v>8</v>
      </c>
      <c r="B11" s="66" t="s">
        <v>57</v>
      </c>
      <c r="C11" s="66" t="s">
        <v>58</v>
      </c>
      <c r="D11" s="67">
        <v>40513</v>
      </c>
      <c r="E11" s="68"/>
      <c r="F11" s="52"/>
      <c r="G11" s="53">
        <v>6466.38</v>
      </c>
      <c r="H11" s="54">
        <f t="shared" si="0"/>
        <v>6794.225466</v>
      </c>
      <c r="I11" s="54"/>
      <c r="J11" s="69"/>
      <c r="K11" s="73">
        <v>6278.04</v>
      </c>
      <c r="L11" s="74">
        <f t="shared" si="2"/>
        <v>6596.336628</v>
      </c>
    </row>
    <row r="12" spans="1:12" ht="15">
      <c r="A12" s="47">
        <v>9</v>
      </c>
      <c r="B12" s="57" t="s">
        <v>59</v>
      </c>
      <c r="C12" s="57" t="s">
        <v>50</v>
      </c>
      <c r="D12" s="61">
        <v>43500</v>
      </c>
      <c r="E12" s="62" t="s">
        <v>86</v>
      </c>
      <c r="F12" s="48" t="s">
        <v>0</v>
      </c>
      <c r="G12" s="49">
        <v>2592.63</v>
      </c>
      <c r="H12" s="51">
        <f t="shared" si="0"/>
        <v>2724.076341</v>
      </c>
      <c r="I12" s="51">
        <v>2724.08</v>
      </c>
      <c r="J12" s="63">
        <f t="shared" si="1"/>
        <v>0.003658999999970547</v>
      </c>
      <c r="K12" s="64"/>
      <c r="L12" s="65">
        <f t="shared" si="2"/>
        <v>0</v>
      </c>
    </row>
    <row r="13" spans="1:12" ht="15">
      <c r="A13" s="47">
        <v>10</v>
      </c>
      <c r="B13" s="57" t="s">
        <v>60</v>
      </c>
      <c r="C13" s="57" t="s">
        <v>61</v>
      </c>
      <c r="D13" s="61">
        <v>43479</v>
      </c>
      <c r="E13" s="62" t="s">
        <v>88</v>
      </c>
      <c r="F13" s="48" t="s">
        <v>0</v>
      </c>
      <c r="G13" s="49">
        <v>2592.63</v>
      </c>
      <c r="H13" s="51">
        <f t="shared" si="0"/>
        <v>2724.076341</v>
      </c>
      <c r="I13" s="51">
        <v>2724.08</v>
      </c>
      <c r="J13" s="63">
        <f t="shared" si="1"/>
        <v>0.003658999999970547</v>
      </c>
      <c r="K13" s="64"/>
      <c r="L13" s="65">
        <f t="shared" si="2"/>
        <v>0</v>
      </c>
    </row>
    <row r="14" spans="1:12" ht="15">
      <c r="A14" s="47">
        <v>11</v>
      </c>
      <c r="B14" s="57" t="s">
        <v>62</v>
      </c>
      <c r="C14" s="57" t="s">
        <v>63</v>
      </c>
      <c r="D14" s="61">
        <v>36654</v>
      </c>
      <c r="E14" s="62" t="s">
        <v>89</v>
      </c>
      <c r="F14" s="48" t="s">
        <v>29</v>
      </c>
      <c r="G14" s="71">
        <v>5075.03</v>
      </c>
      <c r="H14" s="51">
        <f t="shared" si="0"/>
        <v>5332.334021</v>
      </c>
      <c r="I14" s="51">
        <v>4933.05</v>
      </c>
      <c r="J14" s="72">
        <f t="shared" si="1"/>
        <v>-399.2840209999995</v>
      </c>
      <c r="K14" s="64">
        <v>4879.37</v>
      </c>
      <c r="L14" s="65">
        <f t="shared" si="2"/>
        <v>5126.754059</v>
      </c>
    </row>
    <row r="15" spans="1:12" ht="15">
      <c r="A15" s="47">
        <v>12</v>
      </c>
      <c r="B15" s="57" t="s">
        <v>64</v>
      </c>
      <c r="C15" s="57" t="s">
        <v>65</v>
      </c>
      <c r="D15" s="61">
        <v>40380</v>
      </c>
      <c r="E15" s="62" t="s">
        <v>87</v>
      </c>
      <c r="F15" s="48" t="s">
        <v>16</v>
      </c>
      <c r="G15" s="49">
        <v>6348.03</v>
      </c>
      <c r="H15" s="51">
        <f t="shared" si="0"/>
        <v>6669.875120999999</v>
      </c>
      <c r="I15" s="51">
        <v>6693.72</v>
      </c>
      <c r="J15" s="63">
        <f t="shared" si="1"/>
        <v>23.84487900000113</v>
      </c>
      <c r="K15" s="64">
        <v>5602.87</v>
      </c>
      <c r="L15" s="65">
        <f t="shared" si="2"/>
        <v>5886.935509</v>
      </c>
    </row>
    <row r="16" spans="1:12" s="60" customFormat="1" ht="15">
      <c r="A16" s="52">
        <v>13</v>
      </c>
      <c r="B16" s="66" t="s">
        <v>66</v>
      </c>
      <c r="C16" s="66" t="s">
        <v>67</v>
      </c>
      <c r="D16" s="67">
        <v>41334</v>
      </c>
      <c r="E16" s="68"/>
      <c r="F16" s="52"/>
      <c r="G16" s="53">
        <v>5818.65</v>
      </c>
      <c r="H16" s="54">
        <f t="shared" si="0"/>
        <v>6113.655554999999</v>
      </c>
      <c r="I16" s="54"/>
      <c r="J16" s="69"/>
      <c r="K16" s="73">
        <v>5649.17</v>
      </c>
      <c r="L16" s="74">
        <f t="shared" si="2"/>
        <v>5935.5829189999995</v>
      </c>
    </row>
    <row r="17" spans="1:12" ht="15">
      <c r="A17" s="47">
        <v>14</v>
      </c>
      <c r="B17" s="57" t="s">
        <v>68</v>
      </c>
      <c r="C17" s="57" t="s">
        <v>69</v>
      </c>
      <c r="D17" s="61">
        <v>41795</v>
      </c>
      <c r="E17" s="62" t="s">
        <v>87</v>
      </c>
      <c r="F17" s="48" t="s">
        <v>91</v>
      </c>
      <c r="G17" s="49">
        <v>5152.64</v>
      </c>
      <c r="H17" s="51">
        <f t="shared" si="0"/>
        <v>5413.878848</v>
      </c>
      <c r="I17" s="51">
        <v>5423.53</v>
      </c>
      <c r="J17" s="63">
        <f t="shared" si="1"/>
        <v>9.651151999999456</v>
      </c>
      <c r="K17" s="64">
        <v>5002.56</v>
      </c>
      <c r="L17" s="65">
        <f t="shared" si="2"/>
        <v>5256.189792</v>
      </c>
    </row>
    <row r="18" spans="1:12" ht="15">
      <c r="A18" s="47">
        <v>15</v>
      </c>
      <c r="B18" s="57" t="s">
        <v>70</v>
      </c>
      <c r="C18" s="57" t="s">
        <v>69</v>
      </c>
      <c r="D18" s="61">
        <v>41610</v>
      </c>
      <c r="E18" s="62" t="s">
        <v>87</v>
      </c>
      <c r="F18" s="48" t="s">
        <v>91</v>
      </c>
      <c r="G18" s="49">
        <v>5152.64</v>
      </c>
      <c r="H18" s="51">
        <f t="shared" si="0"/>
        <v>5413.878848</v>
      </c>
      <c r="I18" s="51">
        <v>5423.53</v>
      </c>
      <c r="J18" s="63">
        <f t="shared" si="1"/>
        <v>9.651151999999456</v>
      </c>
      <c r="K18" s="64">
        <v>5002.56</v>
      </c>
      <c r="L18" s="65">
        <f t="shared" si="2"/>
        <v>5256.189792</v>
      </c>
    </row>
    <row r="19" spans="1:12" s="60" customFormat="1" ht="15">
      <c r="A19" s="52">
        <v>16</v>
      </c>
      <c r="B19" s="66" t="s">
        <v>79</v>
      </c>
      <c r="C19" s="66" t="s">
        <v>80</v>
      </c>
      <c r="D19" s="67">
        <v>43710</v>
      </c>
      <c r="E19" s="68"/>
      <c r="F19" s="52"/>
      <c r="G19" s="53">
        <v>3630.34</v>
      </c>
      <c r="H19" s="54">
        <f t="shared" si="0"/>
        <v>3814.398238</v>
      </c>
      <c r="I19" s="54"/>
      <c r="J19" s="69"/>
      <c r="K19" s="73"/>
      <c r="L19" s="74">
        <f t="shared" si="2"/>
        <v>0</v>
      </c>
    </row>
    <row r="20" spans="1:12" ht="15">
      <c r="A20" s="47">
        <v>17</v>
      </c>
      <c r="B20" s="57" t="s">
        <v>71</v>
      </c>
      <c r="C20" s="57" t="s">
        <v>69</v>
      </c>
      <c r="D20" s="61">
        <v>41106</v>
      </c>
      <c r="E20" s="62" t="s">
        <v>87</v>
      </c>
      <c r="F20" s="48" t="s">
        <v>92</v>
      </c>
      <c r="G20" s="49">
        <v>5770.96</v>
      </c>
      <c r="H20" s="51">
        <f t="shared" si="0"/>
        <v>6063.547672</v>
      </c>
      <c r="I20" s="51">
        <v>6085.2</v>
      </c>
      <c r="J20" s="63">
        <f t="shared" si="1"/>
        <v>21.652328000000125</v>
      </c>
      <c r="K20" s="64">
        <v>5002.56</v>
      </c>
      <c r="L20" s="65">
        <f t="shared" si="2"/>
        <v>5256.189792</v>
      </c>
    </row>
    <row r="21" spans="1:12" ht="15">
      <c r="A21" s="47">
        <v>18</v>
      </c>
      <c r="B21" s="57" t="s">
        <v>72</v>
      </c>
      <c r="C21" s="57" t="s">
        <v>73</v>
      </c>
      <c r="D21" s="61">
        <v>31582</v>
      </c>
      <c r="E21" s="62" t="s">
        <v>86</v>
      </c>
      <c r="F21" s="48" t="s">
        <v>24</v>
      </c>
      <c r="G21" s="49">
        <v>2480.31</v>
      </c>
      <c r="H21" s="51">
        <f t="shared" si="0"/>
        <v>2606.061717</v>
      </c>
      <c r="I21" s="51">
        <v>2412.13</v>
      </c>
      <c r="J21" s="72">
        <f t="shared" si="1"/>
        <v>-193.93171699999994</v>
      </c>
      <c r="K21" s="64">
        <v>2408.07</v>
      </c>
      <c r="L21" s="65">
        <f t="shared" si="2"/>
        <v>2530.159149</v>
      </c>
    </row>
    <row r="22" spans="1:12" ht="15">
      <c r="A22" s="47">
        <v>19</v>
      </c>
      <c r="B22" s="57" t="s">
        <v>74</v>
      </c>
      <c r="C22" s="57" t="s">
        <v>69</v>
      </c>
      <c r="D22" s="61">
        <v>40413</v>
      </c>
      <c r="E22" s="62" t="s">
        <v>87</v>
      </c>
      <c r="F22" s="48" t="s">
        <v>16</v>
      </c>
      <c r="G22" s="49">
        <v>6348.03</v>
      </c>
      <c r="H22" s="51">
        <f t="shared" si="0"/>
        <v>6669.875120999999</v>
      </c>
      <c r="I22" s="51">
        <v>6693.72</v>
      </c>
      <c r="J22" s="63">
        <f t="shared" si="1"/>
        <v>23.84487900000113</v>
      </c>
      <c r="K22" s="64">
        <v>5602.87</v>
      </c>
      <c r="L22" s="65">
        <f t="shared" si="2"/>
        <v>5886.935509</v>
      </c>
    </row>
    <row r="23" spans="1:12" ht="15">
      <c r="A23" s="129" t="s">
        <v>94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</row>
    <row r="24" spans="1:12" ht="15">
      <c r="A24" s="47">
        <v>1</v>
      </c>
      <c r="B24" s="57" t="s">
        <v>95</v>
      </c>
      <c r="C24" s="57" t="s">
        <v>18</v>
      </c>
      <c r="D24" s="58">
        <v>42135</v>
      </c>
      <c r="E24" s="40">
        <v>5</v>
      </c>
      <c r="F24" s="40" t="s">
        <v>91</v>
      </c>
      <c r="G24" s="59">
        <v>5152.64</v>
      </c>
      <c r="H24" s="59">
        <v>5413.88</v>
      </c>
      <c r="I24" s="59">
        <v>5423.53</v>
      </c>
      <c r="J24" s="63">
        <f t="shared" si="1"/>
        <v>9.649999999999636</v>
      </c>
      <c r="K24" s="64">
        <v>4466.56</v>
      </c>
      <c r="L24" s="65">
        <f t="shared" si="2"/>
        <v>4693.014592</v>
      </c>
    </row>
    <row r="25" spans="1:12" ht="15">
      <c r="A25" s="47">
        <v>2</v>
      </c>
      <c r="B25" s="57" t="s">
        <v>96</v>
      </c>
      <c r="C25" s="57" t="s">
        <v>50</v>
      </c>
      <c r="D25" s="58">
        <v>42255</v>
      </c>
      <c r="E25" s="47">
        <v>3</v>
      </c>
      <c r="F25" s="47" t="s">
        <v>91</v>
      </c>
      <c r="G25" s="59">
        <v>2903.78</v>
      </c>
      <c r="H25" s="59">
        <v>3051</v>
      </c>
      <c r="I25" s="59">
        <v>3056.41</v>
      </c>
      <c r="J25" s="63">
        <f t="shared" si="1"/>
        <v>5.4099999999998545</v>
      </c>
      <c r="K25" s="64">
        <v>2517.12</v>
      </c>
      <c r="L25" s="65">
        <f t="shared" si="2"/>
        <v>2644.737984</v>
      </c>
    </row>
    <row r="26" spans="1:10" ht="15">
      <c r="A26" s="55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">
      <c r="A27" s="55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5">
      <c r="A28" s="55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5">
      <c r="A29" s="55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">
      <c r="A30" s="55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">
      <c r="A31" s="55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">
      <c r="A32" s="55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5">
      <c r="A34" s="55"/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5">
      <c r="A35" s="55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>
      <c r="A36" s="55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5">
      <c r="A37" s="55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5">
      <c r="A38" s="55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5">
      <c r="A39" s="55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">
      <c r="A40" s="55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5">
      <c r="A41" s="55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5">
      <c r="A42" s="55"/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15">
      <c r="A43" s="55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5">
      <c r="A44" s="55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5">
      <c r="A45" s="55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5">
      <c r="A46" s="55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5">
      <c r="A47" s="55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5">
      <c r="A48" s="55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5">
      <c r="A49" s="55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5">
      <c r="A50" s="55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5">
      <c r="A51" s="55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5">
      <c r="A52" s="55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5">
      <c r="A53" s="55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5">
      <c r="A54" s="55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5">
      <c r="A55" s="55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5">
      <c r="A56" s="55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5">
      <c r="A57" s="55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5">
      <c r="A58" s="55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5">
      <c r="A59" s="55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5">
      <c r="A60" s="55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5">
      <c r="A61" s="55"/>
      <c r="B61" s="56"/>
      <c r="C61" s="56"/>
      <c r="D61" s="56"/>
      <c r="E61" s="56"/>
      <c r="F61" s="56"/>
      <c r="G61" s="56"/>
      <c r="H61" s="56"/>
      <c r="I61" s="56"/>
      <c r="J61" s="56"/>
    </row>
  </sheetData>
  <sheetProtection/>
  <mergeCells count="3">
    <mergeCell ref="A1:J1"/>
    <mergeCell ref="A2:L2"/>
    <mergeCell ref="A23:L2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Carmem</dc:creator>
  <cp:keywords/>
  <dc:description/>
  <cp:lastModifiedBy>Magali Krindges</cp:lastModifiedBy>
  <cp:lastPrinted>2019-11-19T20:09:41Z</cp:lastPrinted>
  <dcterms:created xsi:type="dcterms:W3CDTF">2013-12-03T19:03:41Z</dcterms:created>
  <dcterms:modified xsi:type="dcterms:W3CDTF">2022-09-30T17:52:29Z</dcterms:modified>
  <cp:category/>
  <cp:version/>
  <cp:contentType/>
  <cp:contentStatus/>
</cp:coreProperties>
</file>